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tauron.sharepoint.com/sites/PCUWR-FCO/Shared Documents/01_Grupa/200_Sprawozdawczosc/2026/06/44_Spreadsheet/"/>
    </mc:Choice>
  </mc:AlternateContent>
  <xr:revisionPtr revIDLastSave="421" documentId="13_ncr:1_{2530D49D-CA75-4646-A399-313D05B91AE0}" xr6:coauthVersionLast="47" xr6:coauthVersionMax="47" xr10:uidLastSave="{05C32EDB-7243-40B7-B9CA-B564693A3F50}"/>
  <bookViews>
    <workbookView xWindow="13480" yWindow="-16450" windowWidth="29020" windowHeight="15700" tabRatio="783" activeTab="5" xr2:uid="{00000000-000D-0000-FFFF-FFFF00000000}"/>
  </bookViews>
  <sheets>
    <sheet name="Podst. dane_Key figures" sheetId="1" r:id="rId1"/>
    <sheet name="Dane operacyjne_Operating data" sheetId="11" r:id="rId2"/>
    <sheet name="Zainst. moc_Installed capacity" sheetId="2" r:id="rId3"/>
    <sheet name="Cognos_Office_Connection_Cache" sheetId="21" state="veryHidden" r:id="rId4"/>
    <sheet name="Osiąg. moc_Achievable capac" sheetId="19" r:id="rId5"/>
    <sheet name="Segmenty_Segment's results" sheetId="20" r:id="rId6"/>
    <sheet name="Inwestycje_CAPEX" sheetId="4" r:id="rId7"/>
    <sheet name="Rach. zysków i strat_P&amp;L" sheetId="12" r:id="rId8"/>
    <sheet name="Bilans_Balance sheet" sheetId="14" r:id="rId9"/>
    <sheet name="Cash flow" sheetId="15" r:id="rId10"/>
    <sheet name="Hist. dane kwart. - Q figures" sheetId="16" r:id="rId11"/>
    <sheet name="Hist. dane półr. - H figures" sheetId="17" r:id="rId12"/>
    <sheet name="Hist. dane roczne - FY figures" sheetId="18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ID" localSheetId="8" hidden="1">"a3ffccd3-a76c-463b-bf83-4da8a3a62c2a"</definedName>
    <definedName name="ID" localSheetId="9" hidden="1">"1be7323e-6a98-4196-83c7-e8ab6ee9603b"</definedName>
    <definedName name="ID" localSheetId="3" hidden="1">"7317e174-7956-45a0-b731-ec38f27fa6a4"</definedName>
    <definedName name="ID" localSheetId="1" hidden="1">"3f2f43cc-4d32-4176-b4fc-11f2a8526bc7"</definedName>
    <definedName name="ID" localSheetId="10" hidden="1">"8c847a63-4ab5-4ce4-b062-a8e6b0f1db7c"</definedName>
    <definedName name="ID" localSheetId="11" hidden="1">"92cc3e02-0484-4dbe-8499-612d2ae419f3"</definedName>
    <definedName name="ID" localSheetId="12" hidden="1">"067b70ad-b86f-4079-9a41-8b934b7fa18e"</definedName>
    <definedName name="ID" localSheetId="6" hidden="1">"caf5a817-87f7-475b-a888-eeb646dc652a"</definedName>
    <definedName name="ID" localSheetId="4" hidden="1">"c91a5454-955b-4b79-b2f0-6b47955a638f"</definedName>
    <definedName name="ID" localSheetId="0" hidden="1">"79491854-8f6c-4eed-a6ef-90817791c8fc"</definedName>
    <definedName name="ID" localSheetId="7" hidden="1">"74b23b1c-5e68-4ba1-afcf-da5093662947"</definedName>
    <definedName name="ID" localSheetId="5" hidden="1">"bee33b52-e99f-4935-96b3-fffca6723cb6"</definedName>
    <definedName name="ID" localSheetId="2" hidden="1">"f9ea9b0f-3929-4e5a-b657-532f1d533556"</definedName>
    <definedName name="_xlnm.Print_Area" localSheetId="8">'Bilans_Balance sheet'!$A$3:$D$72</definedName>
    <definedName name="_xlnm.Print_Area" localSheetId="9">'Cash flow'!$A$2:$D$41</definedName>
    <definedName name="_xlnm.Print_Area" localSheetId="10">'Hist. dane kwart. - Q figures'!$A$199:$AM$244</definedName>
    <definedName name="_xlnm.Print_Area" localSheetId="11">'Hist. dane półr. - H figures'!$A$200:$X$244</definedName>
    <definedName name="_xlnm.Print_Area" localSheetId="12">'Hist. dane roczne - FY figures'!$A$198:$K$243</definedName>
    <definedName name="_xlnm.Print_Area" localSheetId="7">'Rach. zysków i strat_P&amp;L'!$A$2:$F$40</definedName>
    <definedName name="okres_bieżący_ecxel">[1]Arkusz1!$B$20</definedName>
    <definedName name="okres_bieżący_excel_en">[1]Arkusz1!$D$20</definedName>
    <definedName name="okres_porównywalny_excel">[1]Arkusz1!$B$21</definedName>
    <definedName name="okres_porównywalny_excel_en">[1]Arkusz1!$D$21</definedName>
    <definedName name="RndDec">[2]Settings!$E$9</definedName>
    <definedName name="RndScale">[2]Settings!$E$7</definedName>
  </definedNames>
  <calcPr calcId="191029"/>
  <customWorkbookViews>
    <customWorkbookView name="Bielewicz Justyna - Widok osobisty" guid="{786DE933-524F-40D1-8033-C008687087FC}" mergeInterval="0" personalView="1" maximized="1" xWindow="-8" yWindow="-8" windowWidth="1936" windowHeight="1056" tabRatio="796" activeSheetId="10"/>
    <customWorkbookView name="Marcin Siwczyk - Widok osobisty" guid="{627AEB6E-B9F1-415E-9A60-881757A50C67}" mergeInterval="0" personalView="1" maximized="1" xWindow="-8" yWindow="-8" windowWidth="1616" windowHeight="876" tabRatio="796" activeSheetId="2"/>
    <customWorkbookView name="Maciejczyk Ewa - Widok osobisty" guid="{874BA5F8-BD95-4DDF-8F31-98DB154CA965}" mergeInterval="0" personalView="1" maximized="1" xWindow="-8" yWindow="-8" windowWidth="1936" windowHeight="1056" tabRatio="796" activeSheetId="7"/>
    <customWorkbookView name="Otto Sonia - Widok osobisty" guid="{AAA495E0-27FD-4941-85B8-9038B6AD4FA3}" mergeInterval="0" personalView="1" maximized="1" xWindow="-8" yWindow="-8" windowWidth="1936" windowHeight="1056" tabRatio="796" activeSheetId="7"/>
    <customWorkbookView name="Wiechecka Irena - Widok osobisty" guid="{77EFF5B1-32BE-4080-9902-B97F43099026}" mergeInterval="0" personalView="1" maximized="1" xWindow="1592" yWindow="-8" windowWidth="1936" windowHeight="1096" tabRatio="7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G10" i="4"/>
  <c r="G9" i="4"/>
  <c r="G8" i="4"/>
  <c r="G7" i="4"/>
  <c r="G6" i="4"/>
  <c r="G5" i="4"/>
  <c r="F10" i="4"/>
  <c r="F9" i="4"/>
  <c r="F8" i="4"/>
  <c r="F7" i="4"/>
  <c r="F6" i="4"/>
  <c r="F5" i="4"/>
  <c r="D10" i="4"/>
  <c r="D9" i="4"/>
  <c r="D8" i="4"/>
  <c r="D7" i="4"/>
  <c r="D6" i="4"/>
  <c r="D5" i="4"/>
  <c r="C10" i="4"/>
  <c r="C9" i="4"/>
  <c r="C8" i="4"/>
  <c r="C7" i="4"/>
  <c r="C6" i="4"/>
  <c r="C5" i="4"/>
  <c r="J20" i="1"/>
  <c r="H20" i="1"/>
  <c r="F20" i="1"/>
  <c r="D20" i="1"/>
  <c r="H7" i="1"/>
  <c r="J7" i="1"/>
  <c r="G12" i="4" l="1"/>
  <c r="F12" i="4"/>
  <c r="D12" i="4"/>
  <c r="C12" i="4"/>
  <c r="C51" i="19" l="1"/>
  <c r="C48" i="19"/>
  <c r="C51" i="2"/>
  <c r="C48" i="2"/>
  <c r="D22" i="1"/>
  <c r="F22" i="1"/>
  <c r="J3" i="1"/>
  <c r="J4" i="1"/>
  <c r="J5" i="1"/>
  <c r="J6" i="1"/>
  <c r="H3" i="1"/>
  <c r="H4" i="1"/>
  <c r="H5" i="1"/>
  <c r="H6" i="1"/>
  <c r="F3" i="1"/>
  <c r="F4" i="1"/>
  <c r="F5" i="1"/>
  <c r="F6" i="1"/>
  <c r="D3" i="1"/>
  <c r="D4" i="1"/>
  <c r="D5" i="1"/>
  <c r="D6" i="1"/>
  <c r="J18" i="1"/>
  <c r="H18" i="1"/>
  <c r="F18" i="1"/>
  <c r="D18" i="1"/>
  <c r="J22" i="1"/>
  <c r="H22" i="1"/>
  <c r="J23" i="20"/>
  <c r="J21" i="20"/>
  <c r="J20" i="20"/>
  <c r="J19" i="20"/>
  <c r="J18" i="20"/>
  <c r="J17" i="20"/>
  <c r="J16" i="20"/>
  <c r="I23" i="20"/>
  <c r="I21" i="20"/>
  <c r="I20" i="20"/>
  <c r="I19" i="20"/>
  <c r="I18" i="20"/>
  <c r="I17" i="20"/>
  <c r="I16" i="20"/>
  <c r="H23" i="20"/>
  <c r="H21" i="20"/>
  <c r="H20" i="20"/>
  <c r="H19" i="20"/>
  <c r="H18" i="20"/>
  <c r="H17" i="20"/>
  <c r="H16" i="20"/>
  <c r="E23" i="20"/>
  <c r="D23" i="20"/>
  <c r="C23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J11" i="20"/>
  <c r="I11" i="20"/>
  <c r="H11" i="20"/>
  <c r="F11" i="20"/>
  <c r="K11" i="20" s="1"/>
  <c r="E11" i="20"/>
  <c r="D11" i="20"/>
  <c r="C11" i="20"/>
  <c r="J9" i="20"/>
  <c r="I9" i="20"/>
  <c r="H9" i="20"/>
  <c r="F9" i="20"/>
  <c r="K9" i="20" s="1"/>
  <c r="E9" i="20"/>
  <c r="D9" i="20"/>
  <c r="C9" i="20"/>
  <c r="J8" i="20"/>
  <c r="I8" i="20"/>
  <c r="H8" i="20"/>
  <c r="F8" i="20"/>
  <c r="K8" i="20" s="1"/>
  <c r="E8" i="20"/>
  <c r="D8" i="20"/>
  <c r="C8" i="20"/>
  <c r="J7" i="20"/>
  <c r="I7" i="20"/>
  <c r="H7" i="20"/>
  <c r="F7" i="20"/>
  <c r="K7" i="20" s="1"/>
  <c r="E7" i="20"/>
  <c r="D7" i="20"/>
  <c r="C7" i="20"/>
  <c r="J6" i="20"/>
  <c r="I6" i="20"/>
  <c r="H6" i="20"/>
  <c r="F6" i="20"/>
  <c r="K6" i="20" s="1"/>
  <c r="E6" i="20"/>
  <c r="D6" i="20"/>
  <c r="C6" i="20"/>
  <c r="J5" i="20"/>
  <c r="I5" i="20"/>
  <c r="H5" i="20"/>
  <c r="F5" i="20"/>
  <c r="K5" i="20" s="1"/>
  <c r="E5" i="20"/>
  <c r="D5" i="20"/>
  <c r="C5" i="20"/>
  <c r="J4" i="20"/>
  <c r="I4" i="20"/>
  <c r="H4" i="20"/>
  <c r="F4" i="20"/>
  <c r="K4" i="20" s="1"/>
  <c r="E4" i="20"/>
  <c r="D4" i="20"/>
  <c r="C4" i="20"/>
  <c r="F23" i="20"/>
  <c r="F21" i="20"/>
  <c r="F20" i="20"/>
  <c r="F19" i="20"/>
  <c r="F18" i="20"/>
  <c r="F17" i="20"/>
  <c r="F16" i="20"/>
  <c r="K23" i="20" l="1"/>
  <c r="K16" i="20"/>
  <c r="K17" i="20"/>
  <c r="K18" i="20"/>
  <c r="K19" i="20"/>
  <c r="K20" i="20"/>
  <c r="K21" i="20"/>
  <c r="X99" i="16"/>
  <c r="J10" i="4"/>
  <c r="I10" i="4"/>
  <c r="J9" i="4"/>
  <c r="I9" i="4"/>
  <c r="J8" i="4"/>
  <c r="I8" i="4"/>
  <c r="J7" i="4"/>
  <c r="I7" i="4"/>
  <c r="J6" i="4"/>
  <c r="I6" i="4"/>
  <c r="J5" i="4"/>
  <c r="I5" i="4"/>
  <c r="BR23" i="20" l="1"/>
  <c r="BR21" i="20"/>
  <c r="BR20" i="20"/>
  <c r="BR19" i="20"/>
  <c r="BR18" i="20"/>
  <c r="BR17" i="20"/>
  <c r="BR16" i="20"/>
  <c r="BQ23" i="20"/>
  <c r="BQ21" i="20"/>
  <c r="BQ20" i="20"/>
  <c r="BQ19" i="20"/>
  <c r="BQ18" i="20"/>
  <c r="BQ17" i="20"/>
  <c r="BQ16" i="20"/>
  <c r="BP23" i="20"/>
  <c r="BP21" i="20"/>
  <c r="BP20" i="20"/>
  <c r="BP19" i="20"/>
  <c r="BP18" i="20"/>
  <c r="BP17" i="20"/>
  <c r="BP16" i="20"/>
  <c r="BR11" i="20"/>
  <c r="BR9" i="20"/>
  <c r="BR8" i="20"/>
  <c r="BR7" i="20"/>
  <c r="BR6" i="20"/>
  <c r="BR5" i="20"/>
  <c r="BR4" i="20"/>
  <c r="BQ11" i="20"/>
  <c r="BQ9" i="20"/>
  <c r="BQ8" i="20"/>
  <c r="BQ7" i="20"/>
  <c r="BQ6" i="20"/>
  <c r="BQ5" i="20"/>
  <c r="BQ4" i="20"/>
  <c r="BP11" i="20"/>
  <c r="BP9" i="20"/>
  <c r="BP8" i="20"/>
  <c r="BP7" i="20"/>
  <c r="BP6" i="20"/>
  <c r="BP5" i="20"/>
  <c r="BP4" i="20"/>
  <c r="V10" i="4"/>
  <c r="U10" i="4"/>
  <c r="V9" i="4"/>
  <c r="U9" i="4"/>
  <c r="V8" i="4"/>
  <c r="U8" i="4"/>
  <c r="V7" i="4"/>
  <c r="U7" i="4"/>
  <c r="V6" i="4"/>
  <c r="U6" i="4"/>
  <c r="V5" i="4"/>
  <c r="U5" i="4"/>
  <c r="J12" i="4"/>
  <c r="I12" i="4"/>
  <c r="AI23" i="20"/>
  <c r="AH23" i="20"/>
  <c r="AG23" i="20"/>
  <c r="AI21" i="20"/>
  <c r="AH21" i="20"/>
  <c r="AG21" i="20"/>
  <c r="AI20" i="20"/>
  <c r="AH20" i="20"/>
  <c r="AG20" i="20"/>
  <c r="AI19" i="20"/>
  <c r="AH19" i="20"/>
  <c r="AG19" i="20"/>
  <c r="AI18" i="20"/>
  <c r="AH18" i="20"/>
  <c r="AG18" i="20"/>
  <c r="AI17" i="20"/>
  <c r="AH17" i="20"/>
  <c r="AG17" i="20"/>
  <c r="AI16" i="20"/>
  <c r="AH16" i="20"/>
  <c r="AG16" i="20"/>
  <c r="AI11" i="20"/>
  <c r="AH11" i="20"/>
  <c r="AG11" i="20"/>
  <c r="AI9" i="20"/>
  <c r="AH9" i="20"/>
  <c r="AG9" i="20"/>
  <c r="AI8" i="20"/>
  <c r="AH8" i="20"/>
  <c r="AG8" i="20"/>
  <c r="AI7" i="20"/>
  <c r="AH7" i="20"/>
  <c r="AG7" i="20"/>
  <c r="AI6" i="20"/>
  <c r="AH6" i="20"/>
  <c r="AG6" i="20"/>
  <c r="AI5" i="20"/>
  <c r="AH5" i="20"/>
  <c r="AG5" i="20"/>
  <c r="AI4" i="20"/>
  <c r="AH4" i="20"/>
  <c r="AG4" i="20"/>
  <c r="P23" i="20" l="1"/>
  <c r="P21" i="20"/>
  <c r="P20" i="20"/>
  <c r="P19" i="20"/>
  <c r="P18" i="20"/>
  <c r="P17" i="20"/>
  <c r="P16" i="20"/>
  <c r="O23" i="20"/>
  <c r="O21" i="20"/>
  <c r="O20" i="20"/>
  <c r="O19" i="20"/>
  <c r="O18" i="20"/>
  <c r="O17" i="20"/>
  <c r="O16" i="20"/>
  <c r="N23" i="20"/>
  <c r="N21" i="20"/>
  <c r="N20" i="20"/>
  <c r="N19" i="20"/>
  <c r="N18" i="20"/>
  <c r="N17" i="20"/>
  <c r="N16" i="20"/>
  <c r="M23" i="20"/>
  <c r="M21" i="20"/>
  <c r="M20" i="20"/>
  <c r="M19" i="20"/>
  <c r="M18" i="20"/>
  <c r="M17" i="20"/>
  <c r="M16" i="20"/>
  <c r="P11" i="20"/>
  <c r="O11" i="20"/>
  <c r="N11" i="20"/>
  <c r="M11" i="20"/>
  <c r="P9" i="20"/>
  <c r="O9" i="20"/>
  <c r="N9" i="20"/>
  <c r="M9" i="20"/>
  <c r="P8" i="20"/>
  <c r="O8" i="20"/>
  <c r="N8" i="20"/>
  <c r="M8" i="20"/>
  <c r="P7" i="20"/>
  <c r="O7" i="20"/>
  <c r="N7" i="20"/>
  <c r="M7" i="20"/>
  <c r="P6" i="20"/>
  <c r="O6" i="20"/>
  <c r="N6" i="20"/>
  <c r="M6" i="20"/>
  <c r="P5" i="20"/>
  <c r="O5" i="20"/>
  <c r="N5" i="20"/>
  <c r="M5" i="20"/>
  <c r="P4" i="20"/>
  <c r="O4" i="20"/>
  <c r="N4" i="20"/>
  <c r="M4" i="20"/>
  <c r="R4" i="20"/>
  <c r="S4" i="20"/>
  <c r="T4" i="20"/>
  <c r="U4" i="20"/>
  <c r="C53" i="2" l="1"/>
  <c r="C53" i="19"/>
  <c r="L6" i="1"/>
  <c r="L5" i="1"/>
  <c r="L4" i="1"/>
  <c r="L3" i="1"/>
  <c r="N18" i="1" l="1"/>
  <c r="L18" i="1"/>
  <c r="N7" i="1"/>
  <c r="W135" i="16"/>
  <c r="W99" i="16" l="1"/>
  <c r="W11" i="16" l="1"/>
  <c r="C13" i="2" l="1"/>
  <c r="S10" i="4" l="1"/>
  <c r="S9" i="4"/>
  <c r="S8" i="4"/>
  <c r="S7" i="4"/>
  <c r="S6" i="4"/>
  <c r="S5" i="4"/>
  <c r="R10" i="4"/>
  <c r="R9" i="4"/>
  <c r="R8" i="4"/>
  <c r="R7" i="4"/>
  <c r="R6" i="4"/>
  <c r="R5" i="4"/>
  <c r="M10" i="4"/>
  <c r="M9" i="4"/>
  <c r="P9" i="4" s="1"/>
  <c r="M8" i="4"/>
  <c r="M7" i="4"/>
  <c r="P7" i="4" s="1"/>
  <c r="M6" i="4"/>
  <c r="M5" i="4"/>
  <c r="L6" i="4"/>
  <c r="L9" i="4"/>
  <c r="L10" i="4"/>
  <c r="L8" i="4"/>
  <c r="O8" i="4" s="1"/>
  <c r="L7" i="4"/>
  <c r="O7" i="4" s="1"/>
  <c r="L5" i="4"/>
  <c r="O5" i="4" s="1"/>
  <c r="C45" i="19"/>
  <c r="C45" i="2"/>
  <c r="V20" i="1"/>
  <c r="T20" i="1"/>
  <c r="R7" i="1"/>
  <c r="P7" i="1"/>
  <c r="R6" i="1"/>
  <c r="P6" i="1"/>
  <c r="R5" i="1"/>
  <c r="P5" i="1"/>
  <c r="R4" i="1"/>
  <c r="P4" i="1"/>
  <c r="R3" i="1"/>
  <c r="P3" i="1"/>
  <c r="V21" i="1"/>
  <c r="T21" i="1"/>
  <c r="P21" i="1"/>
  <c r="T22" i="1"/>
  <c r="V22" i="1"/>
  <c r="P8" i="4" l="1"/>
  <c r="O6" i="4"/>
  <c r="O9" i="4"/>
  <c r="O10" i="4"/>
  <c r="P10" i="4"/>
  <c r="P5" i="4"/>
  <c r="P6" i="4"/>
  <c r="S12" i="4"/>
  <c r="R12" i="4"/>
  <c r="M12" i="4"/>
  <c r="L12" i="4"/>
  <c r="O12" i="4" l="1"/>
  <c r="P12" i="4"/>
  <c r="U23" i="20"/>
  <c r="Z23" i="20" s="1"/>
  <c r="T23" i="20"/>
  <c r="S23" i="20"/>
  <c r="R23" i="20"/>
  <c r="U21" i="20"/>
  <c r="Z21" i="20" s="1"/>
  <c r="T21" i="20"/>
  <c r="S21" i="20"/>
  <c r="R21" i="20"/>
  <c r="U20" i="20"/>
  <c r="Z20" i="20" s="1"/>
  <c r="T20" i="20"/>
  <c r="S20" i="20"/>
  <c r="R20" i="20"/>
  <c r="U19" i="20"/>
  <c r="Z19" i="20" s="1"/>
  <c r="T19" i="20"/>
  <c r="S19" i="20"/>
  <c r="R19" i="20"/>
  <c r="U18" i="20"/>
  <c r="Z18" i="20" s="1"/>
  <c r="T18" i="20"/>
  <c r="S18" i="20"/>
  <c r="R18" i="20"/>
  <c r="U17" i="20"/>
  <c r="Z17" i="20" s="1"/>
  <c r="T17" i="20"/>
  <c r="S17" i="20"/>
  <c r="R17" i="20"/>
  <c r="U16" i="20"/>
  <c r="Z16" i="20" s="1"/>
  <c r="T16" i="20"/>
  <c r="S16" i="20"/>
  <c r="R16" i="20"/>
  <c r="R11" i="20"/>
  <c r="R9" i="20"/>
  <c r="R8" i="20"/>
  <c r="R7" i="20"/>
  <c r="R6" i="20"/>
  <c r="R5" i="20"/>
  <c r="U11" i="20" l="1"/>
  <c r="Z11" i="20" s="1"/>
  <c r="T11" i="20"/>
  <c r="S11" i="20"/>
  <c r="U9" i="20"/>
  <c r="Z9" i="20" s="1"/>
  <c r="T9" i="20"/>
  <c r="S9" i="20"/>
  <c r="U8" i="20"/>
  <c r="Z8" i="20" s="1"/>
  <c r="T8" i="20"/>
  <c r="S8" i="20"/>
  <c r="U7" i="20"/>
  <c r="Z7" i="20" s="1"/>
  <c r="T7" i="20"/>
  <c r="S7" i="20"/>
  <c r="U6" i="20"/>
  <c r="Z6" i="20" s="1"/>
  <c r="T6" i="20"/>
  <c r="S6" i="20"/>
  <c r="U5" i="20"/>
  <c r="Z5" i="20" s="1"/>
  <c r="T5" i="20"/>
  <c r="S5" i="20"/>
  <c r="Z4" i="20"/>
  <c r="R164" i="16" l="1"/>
  <c r="R148" i="16"/>
  <c r="J164" i="17" l="1"/>
  <c r="J163" i="17"/>
  <c r="J150" i="17"/>
  <c r="J149" i="17"/>
  <c r="J148" i="17"/>
  <c r="G148" i="18"/>
  <c r="H148" i="18"/>
  <c r="H135" i="18"/>
  <c r="H99" i="18" l="1"/>
  <c r="H15" i="18"/>
  <c r="H11" i="18"/>
  <c r="E148" i="18" l="1"/>
  <c r="D148" i="18"/>
  <c r="F136" i="18"/>
  <c r="G135" i="18"/>
  <c r="F135" i="18"/>
  <c r="F127" i="18"/>
  <c r="F121" i="18"/>
  <c r="E121" i="18"/>
  <c r="F119" i="18"/>
  <c r="E119" i="18"/>
  <c r="F117" i="18"/>
  <c r="E117" i="18"/>
  <c r="F104" i="18"/>
  <c r="E104" i="18"/>
  <c r="F101" i="18"/>
  <c r="E101" i="18"/>
  <c r="G99" i="18"/>
  <c r="F99" i="18"/>
  <c r="F97" i="18"/>
  <c r="E97" i="18"/>
  <c r="F90" i="18"/>
  <c r="E90" i="18"/>
  <c r="F86" i="18"/>
  <c r="E86" i="18"/>
  <c r="F85" i="18"/>
  <c r="E85" i="18"/>
  <c r="F77" i="18"/>
  <c r="E77" i="18"/>
  <c r="F75" i="18"/>
  <c r="E75" i="18"/>
  <c r="F66" i="18"/>
  <c r="E66" i="18"/>
  <c r="E169" i="17"/>
  <c r="C169" i="17"/>
  <c r="E168" i="17"/>
  <c r="C168" i="17"/>
  <c r="H167" i="17"/>
  <c r="G167" i="17"/>
  <c r="F167" i="17"/>
  <c r="E167" i="17"/>
  <c r="C167" i="17"/>
  <c r="F165" i="17"/>
  <c r="E165" i="17"/>
  <c r="C165" i="17"/>
  <c r="K157" i="17"/>
  <c r="E157" i="17"/>
  <c r="F138" i="17"/>
  <c r="E138" i="17"/>
  <c r="C138" i="17"/>
  <c r="J136" i="17"/>
  <c r="I136" i="17"/>
  <c r="H136" i="17"/>
  <c r="G136" i="17"/>
  <c r="E136" i="17"/>
  <c r="C136" i="17"/>
  <c r="K135" i="17"/>
  <c r="I135" i="17"/>
  <c r="H135" i="17"/>
  <c r="G135" i="17"/>
  <c r="H130" i="17"/>
  <c r="J127" i="17"/>
  <c r="I127" i="17"/>
  <c r="H127" i="17"/>
  <c r="G127" i="17"/>
  <c r="K99" i="17"/>
  <c r="I99" i="17"/>
  <c r="J45" i="17"/>
  <c r="H45" i="17"/>
  <c r="G45" i="17"/>
  <c r="J43" i="17"/>
  <c r="I43" i="17"/>
  <c r="H43" i="17"/>
  <c r="G43" i="17"/>
  <c r="J42" i="17"/>
  <c r="I42" i="17"/>
  <c r="H42" i="17"/>
  <c r="G42" i="17"/>
  <c r="G41" i="17"/>
  <c r="J40" i="17"/>
  <c r="I40" i="17"/>
  <c r="H40" i="17"/>
  <c r="G40" i="17"/>
  <c r="J39" i="17"/>
  <c r="I39" i="17"/>
  <c r="H39" i="17"/>
  <c r="G39" i="17"/>
  <c r="G38" i="17"/>
  <c r="J37" i="17"/>
  <c r="I37" i="17"/>
  <c r="H37" i="17"/>
  <c r="G37" i="17"/>
  <c r="J36" i="17"/>
  <c r="I36" i="17"/>
  <c r="H36" i="17"/>
  <c r="G36" i="17"/>
  <c r="J32" i="17"/>
  <c r="I32" i="17"/>
  <c r="H32" i="17"/>
  <c r="G32" i="17"/>
  <c r="E32" i="17"/>
  <c r="J31" i="17"/>
  <c r="I31" i="17"/>
  <c r="H31" i="17"/>
  <c r="J30" i="17"/>
  <c r="I30" i="17"/>
  <c r="H30" i="17"/>
  <c r="G30" i="17"/>
  <c r="E30" i="17"/>
  <c r="J29" i="17"/>
  <c r="I29" i="17"/>
  <c r="H29" i="17"/>
  <c r="G29" i="17"/>
  <c r="E29" i="17"/>
  <c r="J28" i="17"/>
  <c r="I28" i="17"/>
  <c r="H28" i="17"/>
  <c r="G28" i="17"/>
  <c r="J27" i="17"/>
  <c r="I27" i="17"/>
  <c r="H27" i="17"/>
  <c r="G27" i="17"/>
  <c r="J26" i="17"/>
  <c r="I26" i="17"/>
  <c r="H26" i="17"/>
  <c r="G26" i="17"/>
  <c r="J25" i="17"/>
  <c r="I25" i="17"/>
  <c r="H25" i="17"/>
  <c r="G25" i="17"/>
  <c r="J23" i="17"/>
  <c r="I23" i="17"/>
  <c r="H23" i="17"/>
  <c r="G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G19" i="17"/>
  <c r="J18" i="17"/>
  <c r="I18" i="17"/>
  <c r="H18" i="17"/>
  <c r="G18" i="17"/>
  <c r="J17" i="17"/>
  <c r="I17" i="17"/>
  <c r="H17" i="17"/>
  <c r="G17" i="17"/>
  <c r="E17" i="17"/>
  <c r="J16" i="17"/>
  <c r="I16" i="17"/>
  <c r="H16" i="17"/>
  <c r="G16" i="17"/>
  <c r="E16" i="17"/>
  <c r="K15" i="17"/>
  <c r="J15" i="17"/>
  <c r="I15" i="17"/>
  <c r="H15" i="17"/>
  <c r="G15" i="17"/>
  <c r="E15" i="17"/>
  <c r="J14" i="17"/>
  <c r="I14" i="17"/>
  <c r="H14" i="17"/>
  <c r="G14" i="17"/>
  <c r="E14" i="17"/>
  <c r="J13" i="17"/>
  <c r="I13" i="17"/>
  <c r="H13" i="17"/>
  <c r="G13" i="17"/>
  <c r="E13" i="17"/>
  <c r="J12" i="17"/>
  <c r="I12" i="17"/>
  <c r="H12" i="17"/>
  <c r="G12" i="17"/>
  <c r="J11" i="17"/>
  <c r="I11" i="17"/>
  <c r="H11" i="17"/>
  <c r="G11" i="17"/>
  <c r="J10" i="17"/>
  <c r="I10" i="17"/>
  <c r="H10" i="17"/>
  <c r="G10" i="17"/>
  <c r="E10" i="17"/>
  <c r="J9" i="17"/>
  <c r="I9" i="17"/>
  <c r="H9" i="17"/>
  <c r="G9" i="17"/>
  <c r="E9" i="17"/>
  <c r="J8" i="17"/>
  <c r="I8" i="17"/>
  <c r="H8" i="17"/>
  <c r="G8" i="17"/>
  <c r="E8" i="17"/>
  <c r="J7" i="17"/>
  <c r="I7" i="17"/>
  <c r="H7" i="17"/>
  <c r="G7" i="17"/>
  <c r="E7" i="17"/>
  <c r="J6" i="17"/>
  <c r="I6" i="17"/>
  <c r="H6" i="17"/>
  <c r="G6" i="17"/>
  <c r="J5" i="17"/>
  <c r="I5" i="17"/>
  <c r="H5" i="17"/>
  <c r="G5" i="17"/>
  <c r="E5" i="17"/>
  <c r="I169" i="16"/>
  <c r="H169" i="16"/>
  <c r="G169" i="16"/>
  <c r="E169" i="16"/>
  <c r="D169" i="16"/>
  <c r="C169" i="16"/>
  <c r="I168" i="16"/>
  <c r="H168" i="16"/>
  <c r="G168" i="16"/>
  <c r="E168" i="16"/>
  <c r="D168" i="16"/>
  <c r="C168" i="16"/>
  <c r="J167" i="16"/>
  <c r="I167" i="16"/>
  <c r="H167" i="16"/>
  <c r="G167" i="16"/>
  <c r="F167" i="16"/>
  <c r="E167" i="16"/>
  <c r="D167" i="16"/>
  <c r="C167" i="16"/>
  <c r="J165" i="16"/>
  <c r="I165" i="16"/>
  <c r="H165" i="16"/>
  <c r="G165" i="16"/>
  <c r="F165" i="16"/>
  <c r="E165" i="16"/>
  <c r="D165" i="16"/>
  <c r="C165" i="16"/>
  <c r="Q164" i="16"/>
  <c r="P164" i="16"/>
  <c r="O164" i="16"/>
  <c r="N164" i="16"/>
  <c r="R163" i="16"/>
  <c r="Q163" i="16"/>
  <c r="N163" i="16"/>
  <c r="M163" i="16"/>
  <c r="N162" i="16"/>
  <c r="N158" i="16"/>
  <c r="M158" i="16"/>
  <c r="N157" i="16"/>
  <c r="M157" i="16"/>
  <c r="E157" i="16"/>
  <c r="E155" i="16"/>
  <c r="L152" i="16"/>
  <c r="S150" i="16"/>
  <c r="R150" i="16"/>
  <c r="Q150" i="16"/>
  <c r="E150" i="16"/>
  <c r="R149" i="16"/>
  <c r="Q149" i="16"/>
  <c r="Q148" i="16"/>
  <c r="P145" i="16"/>
  <c r="E145" i="16"/>
  <c r="E140" i="16"/>
  <c r="I138" i="16"/>
  <c r="H138" i="16"/>
  <c r="G138" i="16"/>
  <c r="F138" i="16"/>
  <c r="E138" i="16"/>
  <c r="D138" i="16"/>
  <c r="C138" i="16"/>
  <c r="R136" i="16"/>
  <c r="Q136" i="16"/>
  <c r="P136" i="16"/>
  <c r="O136" i="16"/>
  <c r="N136" i="16"/>
  <c r="M136" i="16"/>
  <c r="L136" i="16"/>
  <c r="K136" i="16"/>
  <c r="I136" i="16"/>
  <c r="H136" i="16"/>
  <c r="G136" i="16"/>
  <c r="E136" i="16"/>
  <c r="D136" i="16"/>
  <c r="C136" i="16"/>
  <c r="S135" i="16"/>
  <c r="O135" i="16"/>
  <c r="M135" i="16"/>
  <c r="L135" i="16"/>
  <c r="K135" i="16"/>
  <c r="E135" i="16"/>
  <c r="E132" i="16"/>
  <c r="L130" i="16"/>
  <c r="E129" i="16"/>
  <c r="R127" i="16"/>
  <c r="Q127" i="16"/>
  <c r="P127" i="16"/>
  <c r="O127" i="16"/>
  <c r="N127" i="16"/>
  <c r="M127" i="16"/>
  <c r="L127" i="16"/>
  <c r="K127" i="16"/>
  <c r="N121" i="16"/>
  <c r="J121" i="16"/>
  <c r="N119" i="16"/>
  <c r="J119" i="16"/>
  <c r="N117" i="16"/>
  <c r="J117" i="16"/>
  <c r="N104" i="16"/>
  <c r="J104" i="16"/>
  <c r="N101" i="16"/>
  <c r="J101" i="16"/>
  <c r="U99" i="16"/>
  <c r="S99" i="16"/>
  <c r="O99" i="16"/>
  <c r="N99" i="16"/>
  <c r="N97" i="16"/>
  <c r="J97" i="16"/>
  <c r="N90" i="16"/>
  <c r="J90" i="16"/>
  <c r="N86" i="16"/>
  <c r="J86" i="16"/>
  <c r="N85" i="16"/>
  <c r="J85" i="16"/>
  <c r="N77" i="16"/>
  <c r="J77" i="16"/>
  <c r="N75" i="16"/>
  <c r="J75" i="16"/>
  <c r="N66" i="16"/>
  <c r="J66" i="16"/>
  <c r="Q45" i="16"/>
  <c r="Q42" i="16"/>
  <c r="P42" i="16"/>
  <c r="O42" i="16"/>
  <c r="M42" i="16"/>
  <c r="L42" i="16"/>
  <c r="K42" i="16"/>
  <c r="Q39" i="16"/>
  <c r="P39" i="16"/>
  <c r="O39" i="16"/>
  <c r="M39" i="16"/>
  <c r="L39" i="16"/>
  <c r="K39" i="16"/>
  <c r="Q37" i="16"/>
  <c r="P37" i="16"/>
  <c r="O37" i="16"/>
  <c r="M37" i="16"/>
  <c r="L37" i="16"/>
  <c r="K37" i="16"/>
  <c r="E27" i="16"/>
  <c r="E26" i="16"/>
  <c r="Q23" i="16"/>
  <c r="P23" i="16"/>
  <c r="O23" i="16"/>
  <c r="M23" i="16"/>
  <c r="L23" i="16"/>
  <c r="K23" i="16"/>
  <c r="N19" i="16"/>
  <c r="M19" i="16"/>
  <c r="L19" i="16"/>
  <c r="K19" i="16"/>
  <c r="Q17" i="16"/>
  <c r="P17" i="16"/>
  <c r="O17" i="16"/>
  <c r="N17" i="16"/>
  <c r="M17" i="16"/>
  <c r="L17" i="16"/>
  <c r="K17" i="16"/>
  <c r="Q16" i="16"/>
  <c r="P16" i="16"/>
  <c r="O16" i="16"/>
  <c r="N16" i="16"/>
  <c r="M16" i="16"/>
  <c r="L16" i="16"/>
  <c r="K16" i="16"/>
  <c r="I16" i="16"/>
  <c r="I15" i="16"/>
  <c r="E15" i="16"/>
  <c r="I14" i="16"/>
  <c r="E14" i="16"/>
  <c r="Q13" i="16"/>
  <c r="P13" i="16"/>
  <c r="O13" i="16"/>
  <c r="M13" i="16"/>
  <c r="L13" i="16"/>
  <c r="K13" i="16"/>
  <c r="I13" i="16"/>
  <c r="E11" i="16"/>
  <c r="I10" i="16"/>
  <c r="E10" i="16"/>
  <c r="K9" i="16"/>
  <c r="I9" i="16"/>
  <c r="E9" i="16"/>
  <c r="Q8" i="16"/>
  <c r="P8" i="16"/>
  <c r="O8" i="16"/>
  <c r="N8" i="16"/>
  <c r="M8" i="16"/>
  <c r="L8" i="16"/>
  <c r="K8" i="16"/>
  <c r="I8" i="16"/>
  <c r="N7" i="16"/>
  <c r="M7" i="16"/>
  <c r="L7" i="16"/>
  <c r="K7" i="16"/>
  <c r="I7" i="16"/>
  <c r="E7" i="16"/>
  <c r="Q5" i="16"/>
  <c r="P5" i="16"/>
  <c r="O5" i="16"/>
  <c r="M5" i="16"/>
  <c r="L5" i="16"/>
  <c r="K5" i="16"/>
  <c r="I5" i="16"/>
  <c r="H5" i="16"/>
  <c r="E5" i="16"/>
  <c r="IO26" i="4"/>
  <c r="IN26" i="4"/>
  <c r="IL26" i="4"/>
  <c r="IK26" i="4"/>
  <c r="II26" i="4"/>
  <c r="IH26" i="4"/>
  <c r="IR15" i="4"/>
  <c r="IQ15" i="4"/>
  <c r="IO15" i="4"/>
  <c r="IN15" i="4"/>
  <c r="IL15" i="4"/>
  <c r="IK15" i="4"/>
  <c r="II15" i="4"/>
  <c r="IH15" i="4"/>
  <c r="IE12" i="4"/>
  <c r="ID12" i="4"/>
  <c r="IB12" i="4"/>
  <c r="IA12" i="4"/>
  <c r="HY12" i="4"/>
  <c r="HX12" i="4"/>
  <c r="HV12" i="4"/>
  <c r="HU12" i="4"/>
  <c r="HS12" i="4"/>
  <c r="HR12" i="4"/>
  <c r="HP12" i="4"/>
  <c r="HO12" i="4"/>
  <c r="HM12" i="4"/>
  <c r="HL12" i="4"/>
  <c r="HJ12" i="4"/>
  <c r="HI12" i="4"/>
  <c r="HG12" i="4"/>
  <c r="HF12" i="4"/>
  <c r="HD12" i="4"/>
  <c r="HC12" i="4"/>
  <c r="HA12" i="4"/>
  <c r="GZ12" i="4"/>
  <c r="GX12" i="4"/>
  <c r="GW12" i="4"/>
  <c r="GU12" i="4"/>
  <c r="GT12" i="4"/>
  <c r="GR12" i="4"/>
  <c r="GQ12" i="4"/>
  <c r="GO12" i="4"/>
  <c r="GN12" i="4"/>
  <c r="GL12" i="4"/>
  <c r="GK12" i="4"/>
  <c r="GI12" i="4"/>
  <c r="GH12" i="4"/>
  <c r="GF12" i="4"/>
  <c r="GE12" i="4"/>
  <c r="GC12" i="4"/>
  <c r="GB12" i="4"/>
  <c r="FZ12" i="4"/>
  <c r="FY12" i="4"/>
  <c r="FW12" i="4"/>
  <c r="FV12" i="4"/>
  <c r="FT12" i="4"/>
  <c r="FS12" i="4"/>
  <c r="FQ12" i="4"/>
  <c r="FP12" i="4"/>
  <c r="FN12" i="4"/>
  <c r="FM12" i="4"/>
  <c r="FK12" i="4"/>
  <c r="FJ12" i="4"/>
  <c r="FH12" i="4"/>
  <c r="FG12" i="4"/>
  <c r="FB12" i="4"/>
  <c r="FA12" i="4"/>
  <c r="EY12" i="4"/>
  <c r="EX12" i="4"/>
  <c r="EV12" i="4"/>
  <c r="EU12" i="4"/>
  <c r="ES12" i="4"/>
  <c r="ER12" i="4"/>
  <c r="EO12" i="4"/>
  <c r="EN12" i="4"/>
  <c r="EL12" i="4"/>
  <c r="EK12" i="4"/>
  <c r="EI12" i="4"/>
  <c r="EH12" i="4"/>
  <c r="EF12" i="4"/>
  <c r="EE12" i="4"/>
  <c r="EC12" i="4"/>
  <c r="EB12" i="4"/>
  <c r="DZ12" i="4"/>
  <c r="DY12" i="4"/>
  <c r="DT12" i="4"/>
  <c r="DS12" i="4"/>
  <c r="DN12" i="4"/>
  <c r="DM12" i="4"/>
  <c r="DH12" i="4"/>
  <c r="DG12" i="4"/>
  <c r="DE12" i="4"/>
  <c r="DD12" i="4"/>
  <c r="CY12" i="4"/>
  <c r="CX12" i="4"/>
  <c r="CS12" i="4"/>
  <c r="CR12" i="4"/>
  <c r="CM12" i="4"/>
  <c r="CL12" i="4"/>
  <c r="CJ12" i="4"/>
  <c r="CI12" i="4"/>
  <c r="DW11" i="4"/>
  <c r="DV11" i="4"/>
  <c r="DQ11" i="4"/>
  <c r="DP11" i="4"/>
  <c r="DK11" i="4"/>
  <c r="DJ11" i="4"/>
  <c r="BU11" i="4"/>
  <c r="BT11" i="4"/>
  <c r="BR11" i="4"/>
  <c r="BO11" i="4"/>
  <c r="BL11" i="4"/>
  <c r="BI11" i="4"/>
  <c r="BC11" i="4"/>
  <c r="FE10" i="4"/>
  <c r="FD10" i="4"/>
  <c r="DW10" i="4"/>
  <c r="DV10" i="4"/>
  <c r="DQ10" i="4"/>
  <c r="DP10" i="4"/>
  <c r="DK10" i="4"/>
  <c r="DJ10" i="4"/>
  <c r="DB10" i="4"/>
  <c r="DA10" i="4"/>
  <c r="CV10" i="4"/>
  <c r="CU10" i="4"/>
  <c r="CP10" i="4"/>
  <c r="CO10" i="4"/>
  <c r="CG10" i="4"/>
  <c r="CF10" i="4"/>
  <c r="BU10" i="4"/>
  <c r="BT10" i="4"/>
  <c r="BR10" i="4"/>
  <c r="BQ10" i="4"/>
  <c r="BO10" i="4"/>
  <c r="BN10" i="4"/>
  <c r="BL10" i="4"/>
  <c r="BK10" i="4"/>
  <c r="BI10" i="4"/>
  <c r="BH10" i="4"/>
  <c r="BC10" i="4"/>
  <c r="BB10" i="4"/>
  <c r="AZ10" i="4"/>
  <c r="AY10" i="4"/>
  <c r="AQ10" i="4"/>
  <c r="AP10" i="4"/>
  <c r="AN10" i="4"/>
  <c r="AM10" i="4"/>
  <c r="AH10" i="4"/>
  <c r="AG10" i="4"/>
  <c r="AE10" i="4"/>
  <c r="AD10" i="4"/>
  <c r="AB10" i="4"/>
  <c r="AA10" i="4"/>
  <c r="Y10" i="4"/>
  <c r="X10" i="4"/>
  <c r="FE9" i="4"/>
  <c r="FD9" i="4"/>
  <c r="DW9" i="4"/>
  <c r="DV9" i="4"/>
  <c r="DQ9" i="4"/>
  <c r="DP9" i="4"/>
  <c r="DK9" i="4"/>
  <c r="DJ9" i="4"/>
  <c r="DB9" i="4"/>
  <c r="DA9" i="4"/>
  <c r="CV9" i="4"/>
  <c r="CU9" i="4"/>
  <c r="CP9" i="4"/>
  <c r="CO9" i="4"/>
  <c r="CG9" i="4"/>
  <c r="CF9" i="4"/>
  <c r="BU9" i="4"/>
  <c r="BT9" i="4"/>
  <c r="BR9" i="4"/>
  <c r="BQ9" i="4"/>
  <c r="BO9" i="4"/>
  <c r="BN9" i="4"/>
  <c r="BL9" i="4"/>
  <c r="BK9" i="4"/>
  <c r="BI9" i="4"/>
  <c r="BH9" i="4"/>
  <c r="BC9" i="4"/>
  <c r="BB9" i="4"/>
  <c r="AZ9" i="4"/>
  <c r="AY9" i="4"/>
  <c r="AQ9" i="4"/>
  <c r="AP9" i="4"/>
  <c r="AN9" i="4"/>
  <c r="AM9" i="4"/>
  <c r="AH9" i="4"/>
  <c r="AK9" i="4" s="1"/>
  <c r="AG9" i="4"/>
  <c r="AE9" i="4"/>
  <c r="AD9" i="4"/>
  <c r="AB9" i="4"/>
  <c r="AA9" i="4"/>
  <c r="Y9" i="4"/>
  <c r="X9" i="4"/>
  <c r="FE8" i="4"/>
  <c r="FD8" i="4"/>
  <c r="DW8" i="4"/>
  <c r="DV8" i="4"/>
  <c r="DQ8" i="4"/>
  <c r="DP8" i="4"/>
  <c r="DK8" i="4"/>
  <c r="DJ8" i="4"/>
  <c r="DB8" i="4"/>
  <c r="DA8" i="4"/>
  <c r="CV8" i="4"/>
  <c r="CU8" i="4"/>
  <c r="CP8" i="4"/>
  <c r="CO8" i="4"/>
  <c r="CG8" i="4"/>
  <c r="CF8" i="4"/>
  <c r="BU8" i="4"/>
  <c r="BT8" i="4"/>
  <c r="BR8" i="4"/>
  <c r="BQ8" i="4"/>
  <c r="BO8" i="4"/>
  <c r="BN8" i="4"/>
  <c r="BL8" i="4"/>
  <c r="BK8" i="4"/>
  <c r="BI8" i="4"/>
  <c r="BH8" i="4"/>
  <c r="BC8" i="4"/>
  <c r="BB8" i="4"/>
  <c r="AZ8" i="4"/>
  <c r="AY8" i="4"/>
  <c r="AQ8" i="4"/>
  <c r="AP8" i="4"/>
  <c r="AN8" i="4"/>
  <c r="AM8" i="4"/>
  <c r="AH8" i="4"/>
  <c r="AG8" i="4"/>
  <c r="AE8" i="4"/>
  <c r="AD8" i="4"/>
  <c r="AB8" i="4"/>
  <c r="AA8" i="4"/>
  <c r="Y8" i="4"/>
  <c r="X8" i="4"/>
  <c r="DW7" i="4"/>
  <c r="DV7" i="4"/>
  <c r="DQ7" i="4"/>
  <c r="DP7" i="4"/>
  <c r="DK7" i="4"/>
  <c r="DJ7" i="4"/>
  <c r="DB7" i="4"/>
  <c r="DA7" i="4"/>
  <c r="CV7" i="4"/>
  <c r="CU7" i="4"/>
  <c r="CP7" i="4"/>
  <c r="CO7" i="4"/>
  <c r="CG7" i="4"/>
  <c r="CF7" i="4"/>
  <c r="BU7" i="4"/>
  <c r="BT7" i="4"/>
  <c r="BR7" i="4"/>
  <c r="BQ7" i="4"/>
  <c r="BO7" i="4"/>
  <c r="BN7" i="4"/>
  <c r="BL7" i="4"/>
  <c r="BK7" i="4"/>
  <c r="BI7" i="4"/>
  <c r="BH7" i="4"/>
  <c r="BC7" i="4"/>
  <c r="BB7" i="4"/>
  <c r="AZ7" i="4"/>
  <c r="AY7" i="4"/>
  <c r="AQ7" i="4"/>
  <c r="AP7" i="4"/>
  <c r="AN7" i="4"/>
  <c r="AM7" i="4"/>
  <c r="AH7" i="4"/>
  <c r="AK7" i="4" s="1"/>
  <c r="AG7" i="4"/>
  <c r="AE7" i="4"/>
  <c r="AD7" i="4"/>
  <c r="AB7" i="4"/>
  <c r="AA7" i="4"/>
  <c r="Y7" i="4"/>
  <c r="X7" i="4"/>
  <c r="AQ6" i="4"/>
  <c r="AP6" i="4"/>
  <c r="AN6" i="4"/>
  <c r="AM6" i="4"/>
  <c r="AH6" i="4"/>
  <c r="AG6" i="4"/>
  <c r="AE6" i="4"/>
  <c r="AD6" i="4"/>
  <c r="AB6" i="4"/>
  <c r="AA6" i="4"/>
  <c r="Y6" i="4"/>
  <c r="X6" i="4"/>
  <c r="FE5" i="4"/>
  <c r="FD5" i="4"/>
  <c r="DW5" i="4"/>
  <c r="DV5" i="4"/>
  <c r="DQ5" i="4"/>
  <c r="DP5" i="4"/>
  <c r="DK5" i="4"/>
  <c r="DJ5" i="4"/>
  <c r="DB5" i="4"/>
  <c r="DA5" i="4"/>
  <c r="CV5" i="4"/>
  <c r="CU5" i="4"/>
  <c r="CP5" i="4"/>
  <c r="CO5" i="4"/>
  <c r="CG5" i="4"/>
  <c r="CF5" i="4"/>
  <c r="BU5" i="4"/>
  <c r="BT5" i="4"/>
  <c r="BR5" i="4"/>
  <c r="BQ5" i="4"/>
  <c r="BO5" i="4"/>
  <c r="BN5" i="4"/>
  <c r="BL5" i="4"/>
  <c r="BK5" i="4"/>
  <c r="BI5" i="4"/>
  <c r="BH5" i="4"/>
  <c r="BC5" i="4"/>
  <c r="BB5" i="4"/>
  <c r="AZ5" i="4"/>
  <c r="AY5" i="4"/>
  <c r="AQ5" i="4"/>
  <c r="AP5" i="4"/>
  <c r="AN5" i="4"/>
  <c r="AM5" i="4"/>
  <c r="AH5" i="4"/>
  <c r="AG5" i="4"/>
  <c r="AE5" i="4"/>
  <c r="AD5" i="4"/>
  <c r="AB5" i="4"/>
  <c r="AA5" i="4"/>
  <c r="Y5" i="4"/>
  <c r="X5" i="4"/>
  <c r="V12" i="4"/>
  <c r="FE4" i="4"/>
  <c r="FD4" i="4"/>
  <c r="DW4" i="4"/>
  <c r="DV4" i="4"/>
  <c r="DQ4" i="4"/>
  <c r="DP4" i="4"/>
  <c r="DK4" i="4"/>
  <c r="DJ4" i="4"/>
  <c r="DB4" i="4"/>
  <c r="DA4" i="4"/>
  <c r="CV4" i="4"/>
  <c r="CU4" i="4"/>
  <c r="CP4" i="4"/>
  <c r="CO4" i="4"/>
  <c r="CG4" i="4"/>
  <c r="CF4" i="4"/>
  <c r="CH23" i="20"/>
  <c r="CG23" i="20"/>
  <c r="CF23" i="20"/>
  <c r="CE23" i="20"/>
  <c r="CB23" i="20"/>
  <c r="CA23" i="20"/>
  <c r="BZ23" i="20"/>
  <c r="BX23" i="20"/>
  <c r="CC23" i="20" s="1"/>
  <c r="BW23" i="20"/>
  <c r="BV23" i="20"/>
  <c r="BU23" i="20"/>
  <c r="BN23" i="20"/>
  <c r="BS23" i="20" s="1"/>
  <c r="BM23" i="20"/>
  <c r="BL23" i="20"/>
  <c r="BK23" i="20"/>
  <c r="BD23" i="20"/>
  <c r="BI23" i="20" s="1"/>
  <c r="BC23" i="20"/>
  <c r="BB23" i="20"/>
  <c r="BA23" i="20"/>
  <c r="BF23" i="20" s="1"/>
  <c r="AY23" i="20"/>
  <c r="AX23" i="20"/>
  <c r="AW23" i="20"/>
  <c r="AV23" i="20"/>
  <c r="AS23" i="20"/>
  <c r="AR23" i="20"/>
  <c r="AQ23" i="20"/>
  <c r="AO23" i="20"/>
  <c r="AT23" i="20" s="1"/>
  <c r="AN23" i="20"/>
  <c r="AM23" i="20"/>
  <c r="AL23" i="20"/>
  <c r="AE23" i="20"/>
  <c r="AJ23" i="20" s="1"/>
  <c r="AD23" i="20"/>
  <c r="Y23" i="20" s="1"/>
  <c r="AC23" i="20"/>
  <c r="X23" i="20" s="1"/>
  <c r="AB23" i="20"/>
  <c r="W23" i="20" s="1"/>
  <c r="HG22" i="20"/>
  <c r="HF22" i="20"/>
  <c r="HE22" i="20"/>
  <c r="GX22" i="20"/>
  <c r="GN22" i="20"/>
  <c r="GM22" i="20"/>
  <c r="GL22" i="20"/>
  <c r="GK22" i="20"/>
  <c r="DV22" i="20"/>
  <c r="DU22" i="20"/>
  <c r="DT22" i="20"/>
  <c r="DS22" i="20"/>
  <c r="DQ22" i="20"/>
  <c r="DP22" i="20"/>
  <c r="DO22" i="20"/>
  <c r="DN22" i="20"/>
  <c r="DK22" i="20"/>
  <c r="DJ22" i="20"/>
  <c r="DI22" i="20"/>
  <c r="DG22" i="20"/>
  <c r="DF22" i="20"/>
  <c r="DE22" i="20"/>
  <c r="DD22" i="20"/>
  <c r="DA22" i="20"/>
  <c r="CZ22" i="20"/>
  <c r="CY22" i="20"/>
  <c r="CV22" i="20"/>
  <c r="CU22" i="20"/>
  <c r="CT22" i="20"/>
  <c r="CL22" i="20"/>
  <c r="CK22" i="20"/>
  <c r="CJ22" i="20"/>
  <c r="BI22" i="20"/>
  <c r="BH22" i="20"/>
  <c r="BG22" i="20"/>
  <c r="BF22" i="20"/>
  <c r="LO21" i="20"/>
  <c r="LN21" i="20"/>
  <c r="LM21" i="20"/>
  <c r="LL21" i="20"/>
  <c r="HG21" i="20"/>
  <c r="HF21" i="20"/>
  <c r="HE21" i="20"/>
  <c r="GX21" i="20"/>
  <c r="GN21" i="20"/>
  <c r="GM21" i="20"/>
  <c r="GL21" i="20"/>
  <c r="GK21" i="20"/>
  <c r="FY21" i="20"/>
  <c r="FX21" i="20"/>
  <c r="FW21" i="20"/>
  <c r="FV21" i="20"/>
  <c r="FO21" i="20"/>
  <c r="FN21" i="20"/>
  <c r="FM21" i="20"/>
  <c r="FL21" i="20"/>
  <c r="FE21" i="20"/>
  <c r="FD21" i="20"/>
  <c r="FC21" i="20"/>
  <c r="FB21" i="20"/>
  <c r="EO21" i="20"/>
  <c r="EN21" i="20"/>
  <c r="EM21" i="20"/>
  <c r="EF21" i="20"/>
  <c r="DV21" i="20"/>
  <c r="DU21" i="20"/>
  <c r="DT21" i="20"/>
  <c r="DS21" i="20"/>
  <c r="DQ21" i="20"/>
  <c r="DL21" i="20" s="1"/>
  <c r="DP21" i="20"/>
  <c r="DO21" i="20"/>
  <c r="DN21" i="20"/>
  <c r="DK21" i="20"/>
  <c r="DJ21" i="20"/>
  <c r="DI21" i="20"/>
  <c r="DG21" i="20"/>
  <c r="DF21" i="20"/>
  <c r="DE21" i="20"/>
  <c r="DD21" i="20"/>
  <c r="DA21" i="20"/>
  <c r="CZ21" i="20"/>
  <c r="CY21" i="20"/>
  <c r="CW21" i="20"/>
  <c r="DB21" i="20" s="1"/>
  <c r="CV21" i="20"/>
  <c r="CU21" i="20"/>
  <c r="CT21" i="20"/>
  <c r="CM21" i="20"/>
  <c r="CR21" i="20" s="1"/>
  <c r="CL21" i="20"/>
  <c r="CQ21" i="20" s="1"/>
  <c r="CK21" i="20"/>
  <c r="CJ21" i="20"/>
  <c r="CH21" i="20"/>
  <c r="CG21" i="20"/>
  <c r="CF21" i="20"/>
  <c r="CE21" i="20"/>
  <c r="CC21" i="20"/>
  <c r="BN21" i="20"/>
  <c r="BS21" i="20" s="1"/>
  <c r="BM21" i="20"/>
  <c r="BL21" i="20"/>
  <c r="BK21" i="20"/>
  <c r="BD21" i="20"/>
  <c r="BI21" i="20" s="1"/>
  <c r="BC21" i="20"/>
  <c r="BB21" i="20"/>
  <c r="BA21" i="20"/>
  <c r="AY21" i="20"/>
  <c r="AX21" i="20"/>
  <c r="AW21" i="20"/>
  <c r="AV21" i="20"/>
  <c r="AS21" i="20"/>
  <c r="AR21" i="20"/>
  <c r="AQ21" i="20"/>
  <c r="AO21" i="20"/>
  <c r="AT21" i="20" s="1"/>
  <c r="AN21" i="20"/>
  <c r="AM21" i="20"/>
  <c r="AL21" i="20"/>
  <c r="AE21" i="20"/>
  <c r="AJ21" i="20" s="1"/>
  <c r="AD21" i="20"/>
  <c r="Y21" i="20" s="1"/>
  <c r="AC21" i="20"/>
  <c r="X21" i="20" s="1"/>
  <c r="AB21" i="20"/>
  <c r="W21" i="20" s="1"/>
  <c r="LO20" i="20"/>
  <c r="LN20" i="20"/>
  <c r="LM20" i="20"/>
  <c r="LL20" i="20"/>
  <c r="HG20" i="20"/>
  <c r="HF20" i="20"/>
  <c r="HE20" i="20"/>
  <c r="GX20" i="20"/>
  <c r="GN20" i="20"/>
  <c r="GM20" i="20"/>
  <c r="GL20" i="20"/>
  <c r="GK20" i="20"/>
  <c r="FY20" i="20"/>
  <c r="FX20" i="20"/>
  <c r="FW20" i="20"/>
  <c r="FV20" i="20"/>
  <c r="FO20" i="20"/>
  <c r="FN20" i="20"/>
  <c r="FM20" i="20"/>
  <c r="FL20" i="20"/>
  <c r="FE20" i="20"/>
  <c r="FD20" i="20"/>
  <c r="FC20" i="20"/>
  <c r="FB20" i="20"/>
  <c r="EO20" i="20"/>
  <c r="EN20" i="20"/>
  <c r="EM20" i="20"/>
  <c r="EF20" i="20"/>
  <c r="DV20" i="20"/>
  <c r="DU20" i="20"/>
  <c r="DT20" i="20"/>
  <c r="DS20" i="20"/>
  <c r="DQ20" i="20"/>
  <c r="DL20" i="20" s="1"/>
  <c r="DP20" i="20"/>
  <c r="DO20" i="20"/>
  <c r="DN20" i="20"/>
  <c r="DK20" i="20"/>
  <c r="DJ20" i="20"/>
  <c r="DI20" i="20"/>
  <c r="DG20" i="20"/>
  <c r="DF20" i="20"/>
  <c r="DE20" i="20"/>
  <c r="DD20" i="20"/>
  <c r="DA20" i="20"/>
  <c r="CZ20" i="20"/>
  <c r="CY20" i="20"/>
  <c r="CW20" i="20"/>
  <c r="DB20" i="20" s="1"/>
  <c r="CV20" i="20"/>
  <c r="CU20" i="20"/>
  <c r="CT20" i="20"/>
  <c r="CM20" i="20"/>
  <c r="CR20" i="20" s="1"/>
  <c r="CL20" i="20"/>
  <c r="CK20" i="20"/>
  <c r="CJ20" i="20"/>
  <c r="CH20" i="20"/>
  <c r="CG20" i="20"/>
  <c r="CF20" i="20"/>
  <c r="CE20" i="20"/>
  <c r="CC20" i="20"/>
  <c r="CB20" i="20"/>
  <c r="CA20" i="20"/>
  <c r="BZ20" i="20"/>
  <c r="BW20" i="20"/>
  <c r="BV20" i="20"/>
  <c r="BU20" i="20"/>
  <c r="BN20" i="20"/>
  <c r="BS20" i="20" s="1"/>
  <c r="BM20" i="20"/>
  <c r="BL20" i="20"/>
  <c r="BK20" i="20"/>
  <c r="BD20" i="20"/>
  <c r="BI20" i="20" s="1"/>
  <c r="BC20" i="20"/>
  <c r="BB20" i="20"/>
  <c r="BA20" i="20"/>
  <c r="AY20" i="20"/>
  <c r="AX20" i="20"/>
  <c r="AW20" i="20"/>
  <c r="AV20" i="20"/>
  <c r="AS20" i="20"/>
  <c r="AR20" i="20"/>
  <c r="AQ20" i="20"/>
  <c r="AO20" i="20"/>
  <c r="AT20" i="20" s="1"/>
  <c r="AN20" i="20"/>
  <c r="AM20" i="20"/>
  <c r="AL20" i="20"/>
  <c r="AE20" i="20"/>
  <c r="AJ20" i="20" s="1"/>
  <c r="AD20" i="20"/>
  <c r="Y20" i="20" s="1"/>
  <c r="AC20" i="20"/>
  <c r="X20" i="20" s="1"/>
  <c r="AB20" i="20"/>
  <c r="W20" i="20" s="1"/>
  <c r="LO19" i="20"/>
  <c r="LN19" i="20"/>
  <c r="LM19" i="20"/>
  <c r="LL19" i="20"/>
  <c r="HG19" i="20"/>
  <c r="HF19" i="20"/>
  <c r="HE19" i="20"/>
  <c r="GX19" i="20"/>
  <c r="GN19" i="20"/>
  <c r="GM19" i="20"/>
  <c r="GL19" i="20"/>
  <c r="GK19" i="20"/>
  <c r="FY19" i="20"/>
  <c r="FX19" i="20"/>
  <c r="FW19" i="20"/>
  <c r="FV19" i="20"/>
  <c r="FO19" i="20"/>
  <c r="FN19" i="20"/>
  <c r="FM19" i="20"/>
  <c r="FL19" i="20"/>
  <c r="FE19" i="20"/>
  <c r="FD19" i="20"/>
  <c r="FC19" i="20"/>
  <c r="FB19" i="20"/>
  <c r="EO19" i="20"/>
  <c r="EN19" i="20"/>
  <c r="EM19" i="20"/>
  <c r="EF19" i="20"/>
  <c r="DV19" i="20"/>
  <c r="DU19" i="20"/>
  <c r="DT19" i="20"/>
  <c r="DS19" i="20"/>
  <c r="DQ19" i="20"/>
  <c r="DL19" i="20" s="1"/>
  <c r="DP19" i="20"/>
  <c r="DO19" i="20"/>
  <c r="DN19" i="20"/>
  <c r="DK19" i="20"/>
  <c r="DJ19" i="20"/>
  <c r="DI19" i="20"/>
  <c r="DG19" i="20"/>
  <c r="DF19" i="20"/>
  <c r="DE19" i="20"/>
  <c r="DD19" i="20"/>
  <c r="DA19" i="20"/>
  <c r="CZ19" i="20"/>
  <c r="CY19" i="20"/>
  <c r="CW19" i="20"/>
  <c r="DB19" i="20" s="1"/>
  <c r="CV19" i="20"/>
  <c r="CU19" i="20"/>
  <c r="CT19" i="20"/>
  <c r="CM19" i="20"/>
  <c r="CR19" i="20" s="1"/>
  <c r="CL19" i="20"/>
  <c r="CK19" i="20"/>
  <c r="CJ19" i="20"/>
  <c r="CH19" i="20"/>
  <c r="CG19" i="20"/>
  <c r="CF19" i="20"/>
  <c r="CE19" i="20"/>
  <c r="CC19" i="20"/>
  <c r="CB19" i="20"/>
  <c r="CA19" i="20"/>
  <c r="BZ19" i="20"/>
  <c r="BW19" i="20"/>
  <c r="BV19" i="20"/>
  <c r="BU19" i="20"/>
  <c r="BN19" i="20"/>
  <c r="BS19" i="20" s="1"/>
  <c r="BM19" i="20"/>
  <c r="BL19" i="20"/>
  <c r="BK19" i="20"/>
  <c r="BD19" i="20"/>
  <c r="BI19" i="20" s="1"/>
  <c r="BC19" i="20"/>
  <c r="BB19" i="20"/>
  <c r="BA19" i="20"/>
  <c r="AY19" i="20"/>
  <c r="AX19" i="20"/>
  <c r="AW19" i="20"/>
  <c r="AV19" i="20"/>
  <c r="AS19" i="20"/>
  <c r="AR19" i="20"/>
  <c r="AQ19" i="20"/>
  <c r="AO19" i="20"/>
  <c r="AT19" i="20" s="1"/>
  <c r="AN19" i="20"/>
  <c r="AM19" i="20"/>
  <c r="AL19" i="20"/>
  <c r="AE19" i="20"/>
  <c r="AJ19" i="20" s="1"/>
  <c r="AD19" i="20"/>
  <c r="Y19" i="20" s="1"/>
  <c r="AC19" i="20"/>
  <c r="X19" i="20" s="1"/>
  <c r="AB19" i="20"/>
  <c r="W19" i="20" s="1"/>
  <c r="HG18" i="20"/>
  <c r="HF18" i="20"/>
  <c r="HE18" i="20"/>
  <c r="GX18" i="20"/>
  <c r="GN18" i="20"/>
  <c r="GM18" i="20"/>
  <c r="GL18" i="20"/>
  <c r="GK18" i="20"/>
  <c r="FY18" i="20"/>
  <c r="FX18" i="20"/>
  <c r="FW18" i="20"/>
  <c r="FV18" i="20"/>
  <c r="FO18" i="20"/>
  <c r="FN18" i="20"/>
  <c r="FM18" i="20"/>
  <c r="FL18" i="20"/>
  <c r="FE18" i="20"/>
  <c r="FD18" i="20"/>
  <c r="FC18" i="20"/>
  <c r="FB18" i="20"/>
  <c r="EO18" i="20"/>
  <c r="EN18" i="20"/>
  <c r="EM18" i="20"/>
  <c r="EF18" i="20"/>
  <c r="DV18" i="20"/>
  <c r="DU18" i="20"/>
  <c r="DT18" i="20"/>
  <c r="DS18" i="20"/>
  <c r="DQ18" i="20"/>
  <c r="DL18" i="20" s="1"/>
  <c r="DP18" i="20"/>
  <c r="DO18" i="20"/>
  <c r="DN18" i="20"/>
  <c r="DK18" i="20"/>
  <c r="DJ18" i="20"/>
  <c r="DI18" i="20"/>
  <c r="DG18" i="20"/>
  <c r="DF18" i="20"/>
  <c r="DE18" i="20"/>
  <c r="DD18" i="20"/>
  <c r="DA18" i="20"/>
  <c r="CZ18" i="20"/>
  <c r="CY18" i="20"/>
  <c r="CW18" i="20"/>
  <c r="DB18" i="20" s="1"/>
  <c r="CV18" i="20"/>
  <c r="CU18" i="20"/>
  <c r="CT18" i="20"/>
  <c r="CM18" i="20"/>
  <c r="CR18" i="20" s="1"/>
  <c r="CL18" i="20"/>
  <c r="CK18" i="20"/>
  <c r="CJ18" i="20"/>
  <c r="CH18" i="20"/>
  <c r="CG18" i="20"/>
  <c r="CF18" i="20"/>
  <c r="CE18" i="20"/>
  <c r="CC18" i="20"/>
  <c r="BU18" i="20"/>
  <c r="BN18" i="20"/>
  <c r="BS18" i="20" s="1"/>
  <c r="BM18" i="20"/>
  <c r="BL18" i="20"/>
  <c r="BK18" i="20"/>
  <c r="BD18" i="20"/>
  <c r="BI18" i="20" s="1"/>
  <c r="BC18" i="20"/>
  <c r="BB18" i="20"/>
  <c r="BA18" i="20"/>
  <c r="AY18" i="20"/>
  <c r="AX18" i="20"/>
  <c r="AW18" i="20"/>
  <c r="AV18" i="20"/>
  <c r="AS18" i="20"/>
  <c r="AR18" i="20"/>
  <c r="AQ18" i="20"/>
  <c r="AO18" i="20"/>
  <c r="AT18" i="20" s="1"/>
  <c r="AN18" i="20"/>
  <c r="AM18" i="20"/>
  <c r="AL18" i="20"/>
  <c r="AE18" i="20"/>
  <c r="AJ18" i="20" s="1"/>
  <c r="AD18" i="20"/>
  <c r="Y18" i="20" s="1"/>
  <c r="AC18" i="20"/>
  <c r="X18" i="20" s="1"/>
  <c r="AB18" i="20"/>
  <c r="W18" i="20" s="1"/>
  <c r="BX17" i="20"/>
  <c r="CC17" i="20" s="1"/>
  <c r="BN17" i="20"/>
  <c r="BS17" i="20" s="1"/>
  <c r="BM17" i="20"/>
  <c r="BL17" i="20"/>
  <c r="BK17" i="20"/>
  <c r="BD17" i="20"/>
  <c r="BI17" i="20" s="1"/>
  <c r="BC17" i="20"/>
  <c r="BH17" i="20" s="1"/>
  <c r="BB17" i="20"/>
  <c r="BA17" i="20"/>
  <c r="AY17" i="20"/>
  <c r="AX17" i="20"/>
  <c r="AW17" i="20"/>
  <c r="AV17" i="20"/>
  <c r="AS17" i="20"/>
  <c r="AR17" i="20"/>
  <c r="AQ17" i="20"/>
  <c r="AO17" i="20"/>
  <c r="AT17" i="20" s="1"/>
  <c r="AN17" i="20"/>
  <c r="AM17" i="20"/>
  <c r="AL17" i="20"/>
  <c r="AE17" i="20"/>
  <c r="AJ17" i="20" s="1"/>
  <c r="AD17" i="20"/>
  <c r="Y17" i="20" s="1"/>
  <c r="AC17" i="20"/>
  <c r="X17" i="20" s="1"/>
  <c r="AB17" i="20"/>
  <c r="W17" i="20" s="1"/>
  <c r="LO16" i="20"/>
  <c r="LN16" i="20"/>
  <c r="LM16" i="20"/>
  <c r="LL16" i="20"/>
  <c r="HG16" i="20"/>
  <c r="HF16" i="20"/>
  <c r="HE16" i="20"/>
  <c r="GX16" i="20"/>
  <c r="GN16" i="20"/>
  <c r="GM16" i="20"/>
  <c r="GL16" i="20"/>
  <c r="GK16" i="20"/>
  <c r="FY16" i="20"/>
  <c r="FX16" i="20"/>
  <c r="FW16" i="20"/>
  <c r="FV16" i="20"/>
  <c r="FO16" i="20"/>
  <c r="FN16" i="20"/>
  <c r="FM16" i="20"/>
  <c r="FL16" i="20"/>
  <c r="FE16" i="20"/>
  <c r="FD16" i="20"/>
  <c r="FC16" i="20"/>
  <c r="FB16" i="20"/>
  <c r="EO16" i="20"/>
  <c r="EN16" i="20"/>
  <c r="EM16" i="20"/>
  <c r="EF16" i="20"/>
  <c r="DV16" i="20"/>
  <c r="DU16" i="20"/>
  <c r="DT16" i="20"/>
  <c r="DS16" i="20"/>
  <c r="DQ16" i="20"/>
  <c r="DL16" i="20" s="1"/>
  <c r="DP16" i="20"/>
  <c r="DO16" i="20"/>
  <c r="DN16" i="20"/>
  <c r="DK16" i="20"/>
  <c r="DJ16" i="20"/>
  <c r="DI16" i="20"/>
  <c r="DG16" i="20"/>
  <c r="DF16" i="20"/>
  <c r="DE16" i="20"/>
  <c r="DD16" i="20"/>
  <c r="DA16" i="20"/>
  <c r="CZ16" i="20"/>
  <c r="CY16" i="20"/>
  <c r="CW16" i="20"/>
  <c r="DB16" i="20" s="1"/>
  <c r="CV16" i="20"/>
  <c r="CU16" i="20"/>
  <c r="CT16" i="20"/>
  <c r="CM16" i="20"/>
  <c r="CR16" i="20" s="1"/>
  <c r="CL16" i="20"/>
  <c r="CK16" i="20"/>
  <c r="CJ16" i="20"/>
  <c r="CH16" i="20"/>
  <c r="CG16" i="20"/>
  <c r="CF16" i="20"/>
  <c r="CC16" i="20"/>
  <c r="BN16" i="20"/>
  <c r="BS16" i="20" s="1"/>
  <c r="BM16" i="20"/>
  <c r="BL16" i="20"/>
  <c r="BK16" i="20"/>
  <c r="BD16" i="20"/>
  <c r="BI16" i="20" s="1"/>
  <c r="BC16" i="20"/>
  <c r="BB16" i="20"/>
  <c r="BA16" i="20"/>
  <c r="AY16" i="20"/>
  <c r="AX16" i="20"/>
  <c r="AW16" i="20"/>
  <c r="AV16" i="20"/>
  <c r="AS16" i="20"/>
  <c r="AR16" i="20"/>
  <c r="AQ16" i="20"/>
  <c r="AO16" i="20"/>
  <c r="AT16" i="20" s="1"/>
  <c r="AN16" i="20"/>
  <c r="AM16" i="20"/>
  <c r="AL16" i="20"/>
  <c r="AE16" i="20"/>
  <c r="AJ16" i="20" s="1"/>
  <c r="AD16" i="20"/>
  <c r="Y16" i="20" s="1"/>
  <c r="AC16" i="20"/>
  <c r="X16" i="20" s="1"/>
  <c r="AB16" i="20"/>
  <c r="W16" i="20" s="1"/>
  <c r="LO15" i="20"/>
  <c r="LN15" i="20"/>
  <c r="LM15" i="20"/>
  <c r="LL15" i="20"/>
  <c r="HG15" i="20"/>
  <c r="HF15" i="20"/>
  <c r="HE15" i="20"/>
  <c r="GX15" i="20"/>
  <c r="GN15" i="20"/>
  <c r="GM15" i="20"/>
  <c r="GL15" i="20"/>
  <c r="GK15" i="20"/>
  <c r="FY15" i="20"/>
  <c r="FX15" i="20"/>
  <c r="FW15" i="20"/>
  <c r="FV15" i="20"/>
  <c r="FO15" i="20"/>
  <c r="FN15" i="20"/>
  <c r="FM15" i="20"/>
  <c r="FL15" i="20"/>
  <c r="FE15" i="20"/>
  <c r="FD15" i="20"/>
  <c r="FC15" i="20"/>
  <c r="FB15" i="20"/>
  <c r="EO15" i="20"/>
  <c r="EN15" i="20"/>
  <c r="EM15" i="20"/>
  <c r="EF15" i="20"/>
  <c r="EK14" i="20"/>
  <c r="EA14" i="20"/>
  <c r="CH11" i="20"/>
  <c r="CG11" i="20"/>
  <c r="CF11" i="20"/>
  <c r="CB11" i="20"/>
  <c r="CA11" i="20"/>
  <c r="BZ11" i="20"/>
  <c r="BX11" i="20"/>
  <c r="CC11" i="20" s="1"/>
  <c r="BW11" i="20"/>
  <c r="BV11" i="20"/>
  <c r="BU11" i="20"/>
  <c r="BN11" i="20"/>
  <c r="BS11" i="20" s="1"/>
  <c r="BM11" i="20"/>
  <c r="BL11" i="20"/>
  <c r="BK11" i="20"/>
  <c r="BD11" i="20"/>
  <c r="BI11" i="20" s="1"/>
  <c r="BC11" i="20"/>
  <c r="BB11" i="20"/>
  <c r="BG11" i="20" s="1"/>
  <c r="BA11" i="20"/>
  <c r="AY11" i="20"/>
  <c r="AX11" i="20"/>
  <c r="AW11" i="20"/>
  <c r="AV11" i="20"/>
  <c r="AS11" i="20"/>
  <c r="AR11" i="20"/>
  <c r="AQ11" i="20"/>
  <c r="AO11" i="20"/>
  <c r="AT11" i="20" s="1"/>
  <c r="AN11" i="20"/>
  <c r="AM11" i="20"/>
  <c r="AL11" i="20"/>
  <c r="AJ11" i="20"/>
  <c r="AE11" i="20"/>
  <c r="AD11" i="20"/>
  <c r="Y11" i="20" s="1"/>
  <c r="AC11" i="20"/>
  <c r="X11" i="20" s="1"/>
  <c r="AB11" i="20"/>
  <c r="W11" i="20" s="1"/>
  <c r="HG10" i="20"/>
  <c r="HF10" i="20"/>
  <c r="HE10" i="20"/>
  <c r="GX10" i="20"/>
  <c r="GN10" i="20"/>
  <c r="GM10" i="20"/>
  <c r="GL10" i="20"/>
  <c r="GK10" i="20"/>
  <c r="DV10" i="20"/>
  <c r="DU10" i="20"/>
  <c r="DT10" i="20"/>
  <c r="DS10" i="20"/>
  <c r="BF10" i="20"/>
  <c r="LO9" i="20"/>
  <c r="LN9" i="20"/>
  <c r="LM9" i="20"/>
  <c r="LL9" i="20"/>
  <c r="HG9" i="20"/>
  <c r="HF9" i="20"/>
  <c r="HE9" i="20"/>
  <c r="GX9" i="20"/>
  <c r="GN9" i="20"/>
  <c r="GM9" i="20"/>
  <c r="GL9" i="20"/>
  <c r="GK9" i="20"/>
  <c r="FY9" i="20"/>
  <c r="FX9" i="20"/>
  <c r="FW9" i="20"/>
  <c r="FV9" i="20"/>
  <c r="FO9" i="20"/>
  <c r="FN9" i="20"/>
  <c r="FM9" i="20"/>
  <c r="FL9" i="20"/>
  <c r="FE9" i="20"/>
  <c r="FD9" i="20"/>
  <c r="FC9" i="20"/>
  <c r="FB9" i="20"/>
  <c r="EO9" i="20"/>
  <c r="EN9" i="20"/>
  <c r="EM9" i="20"/>
  <c r="EF9" i="20"/>
  <c r="DV9" i="20"/>
  <c r="DU9" i="20"/>
  <c r="DT9" i="20"/>
  <c r="DS9" i="20"/>
  <c r="DQ9" i="20"/>
  <c r="DP9" i="20"/>
  <c r="DO9" i="20"/>
  <c r="DN9" i="20"/>
  <c r="DK9" i="20"/>
  <c r="DJ9" i="20"/>
  <c r="DI9" i="20"/>
  <c r="DG9" i="20"/>
  <c r="DL9" i="20" s="1"/>
  <c r="DF9" i="20"/>
  <c r="DE9" i="20"/>
  <c r="DD9" i="20"/>
  <c r="DA9" i="20"/>
  <c r="CZ9" i="20"/>
  <c r="CY9" i="20"/>
  <c r="CW9" i="20"/>
  <c r="DB9" i="20" s="1"/>
  <c r="CV9" i="20"/>
  <c r="CU9" i="20"/>
  <c r="CT9" i="20"/>
  <c r="CM9" i="20"/>
  <c r="CR9" i="20" s="1"/>
  <c r="CL9" i="20"/>
  <c r="CK9" i="20"/>
  <c r="CP9" i="20" s="1"/>
  <c r="CJ9" i="20"/>
  <c r="CH9" i="20"/>
  <c r="CG9" i="20"/>
  <c r="CF9" i="20"/>
  <c r="CC9" i="20"/>
  <c r="BN9" i="20"/>
  <c r="BS9" i="20" s="1"/>
  <c r="BM9" i="20"/>
  <c r="BL9" i="20"/>
  <c r="BK9" i="20"/>
  <c r="BD9" i="20"/>
  <c r="BI9" i="20" s="1"/>
  <c r="BC9" i="20"/>
  <c r="BB9" i="20"/>
  <c r="BG9" i="20" s="1"/>
  <c r="BA9" i="20"/>
  <c r="BF9" i="20" s="1"/>
  <c r="AY9" i="20"/>
  <c r="AX9" i="20"/>
  <c r="AW9" i="20"/>
  <c r="AV9" i="20"/>
  <c r="AS9" i="20"/>
  <c r="AR9" i="20"/>
  <c r="AQ9" i="20"/>
  <c r="AO9" i="20"/>
  <c r="AT9" i="20" s="1"/>
  <c r="AN9" i="20"/>
  <c r="AM9" i="20"/>
  <c r="AL9" i="20"/>
  <c r="AJ9" i="20"/>
  <c r="AE9" i="20"/>
  <c r="AD9" i="20"/>
  <c r="Y9" i="20" s="1"/>
  <c r="AC9" i="20"/>
  <c r="X9" i="20" s="1"/>
  <c r="AB9" i="20"/>
  <c r="W9" i="20" s="1"/>
  <c r="LO8" i="20"/>
  <c r="LN8" i="20"/>
  <c r="LM8" i="20"/>
  <c r="LL8" i="20"/>
  <c r="HG8" i="20"/>
  <c r="HF8" i="20"/>
  <c r="HE8" i="20"/>
  <c r="GX8" i="20"/>
  <c r="GN8" i="20"/>
  <c r="GM8" i="20"/>
  <c r="GL8" i="20"/>
  <c r="GK8" i="20"/>
  <c r="FY8" i="20"/>
  <c r="FX8" i="20"/>
  <c r="FW8" i="20"/>
  <c r="FV8" i="20"/>
  <c r="FO8" i="20"/>
  <c r="FN8" i="20"/>
  <c r="FM8" i="20"/>
  <c r="FL8" i="20"/>
  <c r="FE8" i="20"/>
  <c r="FD8" i="20"/>
  <c r="FC8" i="20"/>
  <c r="FB8" i="20"/>
  <c r="EO8" i="20"/>
  <c r="EN8" i="20"/>
  <c r="EM8" i="20"/>
  <c r="EF8" i="20"/>
  <c r="DV8" i="20"/>
  <c r="DU8" i="20"/>
  <c r="DT8" i="20"/>
  <c r="DS8" i="20"/>
  <c r="DQ8" i="20"/>
  <c r="DP8" i="20"/>
  <c r="DO8" i="20"/>
  <c r="DN8" i="20"/>
  <c r="DK8" i="20"/>
  <c r="DJ8" i="20"/>
  <c r="DI8" i="20"/>
  <c r="DG8" i="20"/>
  <c r="DL8" i="20" s="1"/>
  <c r="DF8" i="20"/>
  <c r="DE8" i="20"/>
  <c r="DD8" i="20"/>
  <c r="DA8" i="20"/>
  <c r="CZ8" i="20"/>
  <c r="CY8" i="20"/>
  <c r="CW8" i="20"/>
  <c r="DB8" i="20" s="1"/>
  <c r="CV8" i="20"/>
  <c r="CU8" i="20"/>
  <c r="CT8" i="20"/>
  <c r="CM8" i="20"/>
  <c r="CR8" i="20" s="1"/>
  <c r="CL8" i="20"/>
  <c r="CK8" i="20"/>
  <c r="CJ8" i="20"/>
  <c r="CH8" i="20"/>
  <c r="CG8" i="20"/>
  <c r="CF8" i="20"/>
  <c r="CC8" i="20"/>
  <c r="CB8" i="20"/>
  <c r="CA8" i="20"/>
  <c r="BZ8" i="20"/>
  <c r="BW8" i="20"/>
  <c r="BV8" i="20"/>
  <c r="BU8" i="20"/>
  <c r="BN8" i="20"/>
  <c r="BS8" i="20" s="1"/>
  <c r="BM8" i="20"/>
  <c r="BL8" i="20"/>
  <c r="BK8" i="20"/>
  <c r="BD8" i="20"/>
  <c r="BI8" i="20" s="1"/>
  <c r="BC8" i="20"/>
  <c r="BB8" i="20"/>
  <c r="BA8" i="20"/>
  <c r="AY8" i="20"/>
  <c r="AX8" i="20"/>
  <c r="AW8" i="20"/>
  <c r="AV8" i="20"/>
  <c r="AS8" i="20"/>
  <c r="AR8" i="20"/>
  <c r="AQ8" i="20"/>
  <c r="AO8" i="20"/>
  <c r="AT8" i="20" s="1"/>
  <c r="AN8" i="20"/>
  <c r="AM8" i="20"/>
  <c r="AL8" i="20"/>
  <c r="AJ8" i="20"/>
  <c r="AE8" i="20"/>
  <c r="AD8" i="20"/>
  <c r="Y8" i="20" s="1"/>
  <c r="AC8" i="20"/>
  <c r="X8" i="20" s="1"/>
  <c r="AB8" i="20"/>
  <c r="W8" i="20" s="1"/>
  <c r="LO7" i="20"/>
  <c r="LN7" i="20"/>
  <c r="LM7" i="20"/>
  <c r="LL7" i="20"/>
  <c r="HG7" i="20"/>
  <c r="HF7" i="20"/>
  <c r="HE7" i="20"/>
  <c r="GX7" i="20"/>
  <c r="GN7" i="20"/>
  <c r="GM7" i="20"/>
  <c r="GL7" i="20"/>
  <c r="GK7" i="20"/>
  <c r="FY7" i="20"/>
  <c r="FX7" i="20"/>
  <c r="FW7" i="20"/>
  <c r="FV7" i="20"/>
  <c r="FO7" i="20"/>
  <c r="FN7" i="20"/>
  <c r="FM7" i="20"/>
  <c r="FL7" i="20"/>
  <c r="FE7" i="20"/>
  <c r="FD7" i="20"/>
  <c r="FC7" i="20"/>
  <c r="FB7" i="20"/>
  <c r="EO7" i="20"/>
  <c r="EN7" i="20"/>
  <c r="EM7" i="20"/>
  <c r="EF7" i="20"/>
  <c r="DV7" i="20"/>
  <c r="DU7" i="20"/>
  <c r="DT7" i="20"/>
  <c r="DS7" i="20"/>
  <c r="DQ7" i="20"/>
  <c r="DP7" i="20"/>
  <c r="DO7" i="20"/>
  <c r="DN7" i="20"/>
  <c r="DL7" i="20"/>
  <c r="DK7" i="20"/>
  <c r="DJ7" i="20"/>
  <c r="DI7" i="20"/>
  <c r="DG7" i="20"/>
  <c r="DF7" i="20"/>
  <c r="DE7" i="20"/>
  <c r="DD7" i="20"/>
  <c r="DA7" i="20"/>
  <c r="CZ7" i="20"/>
  <c r="CY7" i="20"/>
  <c r="CW7" i="20"/>
  <c r="DB7" i="20" s="1"/>
  <c r="CV7" i="20"/>
  <c r="CU7" i="20"/>
  <c r="CT7" i="20"/>
  <c r="CM7" i="20"/>
  <c r="CR7" i="20" s="1"/>
  <c r="CL7" i="20"/>
  <c r="CK7" i="20"/>
  <c r="CJ7" i="20"/>
  <c r="CH7" i="20"/>
  <c r="CG7" i="20"/>
  <c r="CF7" i="20"/>
  <c r="CE7" i="20"/>
  <c r="CC7" i="20"/>
  <c r="CB7" i="20"/>
  <c r="CA7" i="20"/>
  <c r="BZ7" i="20"/>
  <c r="BW7" i="20"/>
  <c r="BV7" i="20"/>
  <c r="BU7" i="20"/>
  <c r="BN7" i="20"/>
  <c r="BS7" i="20" s="1"/>
  <c r="BM7" i="20"/>
  <c r="BL7" i="20"/>
  <c r="BK7" i="20"/>
  <c r="BD7" i="20"/>
  <c r="BI7" i="20" s="1"/>
  <c r="BC7" i="20"/>
  <c r="BH7" i="20" s="1"/>
  <c r="BB7" i="20"/>
  <c r="BA7" i="20"/>
  <c r="AY7" i="20"/>
  <c r="AX7" i="20"/>
  <c r="AW7" i="20"/>
  <c r="AV7" i="20"/>
  <c r="AS7" i="20"/>
  <c r="AR7" i="20"/>
  <c r="AQ7" i="20"/>
  <c r="AO7" i="20"/>
  <c r="AT7" i="20" s="1"/>
  <c r="AN7" i="20"/>
  <c r="AM7" i="20"/>
  <c r="AL7" i="20"/>
  <c r="AJ7" i="20"/>
  <c r="AE7" i="20"/>
  <c r="AD7" i="20"/>
  <c r="Y7" i="20" s="1"/>
  <c r="AC7" i="20"/>
  <c r="X7" i="20" s="1"/>
  <c r="AB7" i="20"/>
  <c r="W7" i="20" s="1"/>
  <c r="HG6" i="20"/>
  <c r="HF6" i="20"/>
  <c r="HE6" i="20"/>
  <c r="GX6" i="20"/>
  <c r="GN6" i="20"/>
  <c r="GM6" i="20"/>
  <c r="GL6" i="20"/>
  <c r="GK6" i="20"/>
  <c r="FY6" i="20"/>
  <c r="FX6" i="20"/>
  <c r="FW6" i="20"/>
  <c r="FV6" i="20"/>
  <c r="FO6" i="20"/>
  <c r="FN6" i="20"/>
  <c r="FM6" i="20"/>
  <c r="FL6" i="20"/>
  <c r="FE6" i="20"/>
  <c r="FD6" i="20"/>
  <c r="FC6" i="20"/>
  <c r="FB6" i="20"/>
  <c r="EO6" i="20"/>
  <c r="EN6" i="20"/>
  <c r="EM6" i="20"/>
  <c r="EF6" i="20"/>
  <c r="DV6" i="20"/>
  <c r="DU6" i="20"/>
  <c r="DT6" i="20"/>
  <c r="DS6" i="20"/>
  <c r="DQ6" i="20"/>
  <c r="DP6" i="20"/>
  <c r="DO6" i="20"/>
  <c r="DN6" i="20"/>
  <c r="DK6" i="20"/>
  <c r="DJ6" i="20"/>
  <c r="DI6" i="20"/>
  <c r="DG6" i="20"/>
  <c r="DL6" i="20" s="1"/>
  <c r="DF6" i="20"/>
  <c r="DE6" i="20"/>
  <c r="DD6" i="20"/>
  <c r="DA6" i="20"/>
  <c r="CZ6" i="20"/>
  <c r="CY6" i="20"/>
  <c r="CW6" i="20"/>
  <c r="DB6" i="20" s="1"/>
  <c r="CV6" i="20"/>
  <c r="CU6" i="20"/>
  <c r="CT6" i="20"/>
  <c r="CM6" i="20"/>
  <c r="CR6" i="20" s="1"/>
  <c r="CL6" i="20"/>
  <c r="CK6" i="20"/>
  <c r="CJ6" i="20"/>
  <c r="CH6" i="20"/>
  <c r="CG6" i="20"/>
  <c r="CF6" i="20"/>
  <c r="CE6" i="20"/>
  <c r="CC6" i="20"/>
  <c r="BN6" i="20"/>
  <c r="BS6" i="20" s="1"/>
  <c r="BM6" i="20"/>
  <c r="BL6" i="20"/>
  <c r="BK6" i="20"/>
  <c r="BD6" i="20"/>
  <c r="BI6" i="20" s="1"/>
  <c r="BC6" i="20"/>
  <c r="BB6" i="20"/>
  <c r="BA6" i="20"/>
  <c r="AY6" i="20"/>
  <c r="AX6" i="20"/>
  <c r="AW6" i="20"/>
  <c r="AV6" i="20"/>
  <c r="AS6" i="20"/>
  <c r="AR6" i="20"/>
  <c r="AQ6" i="20"/>
  <c r="AO6" i="20"/>
  <c r="AT6" i="20" s="1"/>
  <c r="AN6" i="20"/>
  <c r="AM6" i="20"/>
  <c r="AL6" i="20"/>
  <c r="AJ6" i="20"/>
  <c r="AE6" i="20"/>
  <c r="AD6" i="20"/>
  <c r="Y6" i="20" s="1"/>
  <c r="AC6" i="20"/>
  <c r="X6" i="20" s="1"/>
  <c r="AB6" i="20"/>
  <c r="W6" i="20" s="1"/>
  <c r="CC5" i="20"/>
  <c r="BS5" i="20"/>
  <c r="BN5" i="20"/>
  <c r="BM5" i="20"/>
  <c r="BL5" i="20"/>
  <c r="BK5" i="20"/>
  <c r="BD5" i="20"/>
  <c r="BI5" i="20" s="1"/>
  <c r="BC5" i="20"/>
  <c r="BB5" i="20"/>
  <c r="BA5" i="20"/>
  <c r="AY5" i="20"/>
  <c r="AX5" i="20"/>
  <c r="AW5" i="20"/>
  <c r="AV5" i="20"/>
  <c r="AS5" i="20"/>
  <c r="AR5" i="20"/>
  <c r="AQ5" i="20"/>
  <c r="AO5" i="20"/>
  <c r="AT5" i="20" s="1"/>
  <c r="AN5" i="20"/>
  <c r="AM5" i="20"/>
  <c r="AL5" i="20"/>
  <c r="AJ5" i="20"/>
  <c r="AE5" i="20"/>
  <c r="AD5" i="20"/>
  <c r="Y5" i="20" s="1"/>
  <c r="AC5" i="20"/>
  <c r="X5" i="20" s="1"/>
  <c r="AB5" i="20"/>
  <c r="W5" i="20" s="1"/>
  <c r="LO4" i="20"/>
  <c r="LN4" i="20"/>
  <c r="LM4" i="20"/>
  <c r="LL4" i="20"/>
  <c r="HG4" i="20"/>
  <c r="HF4" i="20"/>
  <c r="HE4" i="20"/>
  <c r="GX4" i="20"/>
  <c r="GN4" i="20"/>
  <c r="GM4" i="20"/>
  <c r="GL4" i="20"/>
  <c r="GK4" i="20"/>
  <c r="FY4" i="20"/>
  <c r="FX4" i="20"/>
  <c r="FW4" i="20"/>
  <c r="FV4" i="20"/>
  <c r="FO4" i="20"/>
  <c r="FN4" i="20"/>
  <c r="FM4" i="20"/>
  <c r="FL4" i="20"/>
  <c r="FE4" i="20"/>
  <c r="FD4" i="20"/>
  <c r="FC4" i="20"/>
  <c r="FB4" i="20"/>
  <c r="EO4" i="20"/>
  <c r="EN4" i="20"/>
  <c r="EM4" i="20"/>
  <c r="EF4" i="20"/>
  <c r="DV4" i="20"/>
  <c r="DU4" i="20"/>
  <c r="DT4" i="20"/>
  <c r="DS4" i="20"/>
  <c r="DQ4" i="20"/>
  <c r="DP4" i="20"/>
  <c r="DO4" i="20"/>
  <c r="DN4" i="20"/>
  <c r="DK4" i="20"/>
  <c r="DJ4" i="20"/>
  <c r="DI4" i="20"/>
  <c r="DG4" i="20"/>
  <c r="DL4" i="20" s="1"/>
  <c r="DF4" i="20"/>
  <c r="DE4" i="20"/>
  <c r="DD4" i="20"/>
  <c r="DA4" i="20"/>
  <c r="CZ4" i="20"/>
  <c r="CY4" i="20"/>
  <c r="CW4" i="20"/>
  <c r="DB4" i="20" s="1"/>
  <c r="CV4" i="20"/>
  <c r="CU4" i="20"/>
  <c r="CT4" i="20"/>
  <c r="CM4" i="20"/>
  <c r="CR4" i="20" s="1"/>
  <c r="CL4" i="20"/>
  <c r="CK4" i="20"/>
  <c r="CP4" i="20" s="1"/>
  <c r="CJ4" i="20"/>
  <c r="CH4" i="20"/>
  <c r="CC4" i="20"/>
  <c r="BN4" i="20"/>
  <c r="BS4" i="20" s="1"/>
  <c r="BM4" i="20"/>
  <c r="BL4" i="20"/>
  <c r="BK4" i="20"/>
  <c r="BD4" i="20"/>
  <c r="BI4" i="20" s="1"/>
  <c r="BC4" i="20"/>
  <c r="BB4" i="20"/>
  <c r="BA4" i="20"/>
  <c r="AY4" i="20"/>
  <c r="AX4" i="20"/>
  <c r="AW4" i="20"/>
  <c r="AV4" i="20"/>
  <c r="AS4" i="20"/>
  <c r="AR4" i="20"/>
  <c r="AQ4" i="20"/>
  <c r="AO4" i="20"/>
  <c r="AT4" i="20" s="1"/>
  <c r="AN4" i="20"/>
  <c r="AM4" i="20"/>
  <c r="AL4" i="20"/>
  <c r="AJ4" i="20"/>
  <c r="AE4" i="20"/>
  <c r="AD4" i="20"/>
  <c r="Y4" i="20" s="1"/>
  <c r="AC4" i="20"/>
  <c r="X4" i="20" s="1"/>
  <c r="AB4" i="20"/>
  <c r="W4" i="20" s="1"/>
  <c r="LO3" i="20"/>
  <c r="LN3" i="20"/>
  <c r="LM3" i="20"/>
  <c r="LL3" i="20"/>
  <c r="HG3" i="20"/>
  <c r="HF3" i="20"/>
  <c r="HE3" i="20"/>
  <c r="GX3" i="20"/>
  <c r="GN3" i="20"/>
  <c r="GM3" i="20"/>
  <c r="GL3" i="20"/>
  <c r="GK3" i="20"/>
  <c r="FY3" i="20"/>
  <c r="FX3" i="20"/>
  <c r="FW3" i="20"/>
  <c r="FV3" i="20"/>
  <c r="FO3" i="20"/>
  <c r="FN3" i="20"/>
  <c r="FM3" i="20"/>
  <c r="FL3" i="20"/>
  <c r="FE3" i="20"/>
  <c r="FD3" i="20"/>
  <c r="FC3" i="20"/>
  <c r="FB3" i="20"/>
  <c r="EO3" i="20"/>
  <c r="EN3" i="20"/>
  <c r="EM3" i="20"/>
  <c r="EF3" i="20"/>
  <c r="HC2" i="20"/>
  <c r="GS2" i="20"/>
  <c r="GD2" i="20"/>
  <c r="FT2" i="20"/>
  <c r="FJ2" i="20"/>
  <c r="EK2" i="20"/>
  <c r="EA2" i="20"/>
  <c r="D55" i="2"/>
  <c r="C55" i="2"/>
  <c r="C38" i="2"/>
  <c r="C35" i="2"/>
  <c r="D30" i="2"/>
  <c r="D35" i="2" s="1"/>
  <c r="C30" i="2"/>
  <c r="C23" i="2"/>
  <c r="D20" i="2"/>
  <c r="D24" i="2" s="1"/>
  <c r="C20" i="2"/>
  <c r="C18" i="2"/>
  <c r="C15" i="2"/>
  <c r="C10" i="2"/>
  <c r="C7" i="2"/>
  <c r="C3" i="2"/>
  <c r="C24" i="2" s="1"/>
  <c r="C38" i="19"/>
  <c r="D30" i="19"/>
  <c r="D35" i="19" s="1"/>
  <c r="C30" i="19"/>
  <c r="C35" i="19" s="1"/>
  <c r="D24" i="19"/>
  <c r="C23" i="19"/>
  <c r="D20" i="19"/>
  <c r="C20" i="19"/>
  <c r="C18" i="19"/>
  <c r="C15" i="19"/>
  <c r="C13" i="19"/>
  <c r="C10" i="19"/>
  <c r="C7" i="19"/>
  <c r="C3" i="19"/>
  <c r="AI19" i="11"/>
  <c r="AH19" i="11"/>
  <c r="AG19" i="11" s="1"/>
  <c r="V19" i="11"/>
  <c r="AI18" i="11"/>
  <c r="AH18" i="11"/>
  <c r="AG18" i="11"/>
  <c r="AD18" i="11"/>
  <c r="AC18" i="11"/>
  <c r="AA18" i="11" s="1"/>
  <c r="V18" i="11"/>
  <c r="AZ17" i="11"/>
  <c r="AU17" i="11"/>
  <c r="AG17" i="11"/>
  <c r="AD17" i="11"/>
  <c r="AA17" i="11" s="1"/>
  <c r="V17" i="11"/>
  <c r="AH16" i="11"/>
  <c r="AE16" i="11"/>
  <c r="AD16" i="11"/>
  <c r="AC16" i="11"/>
  <c r="AB16" i="11"/>
  <c r="AA16" i="11"/>
  <c r="Z16" i="11"/>
  <c r="AG13" i="11"/>
  <c r="AD13" i="11"/>
  <c r="AA13" i="11"/>
  <c r="V13" i="11"/>
  <c r="R13" i="11"/>
  <c r="Q13" i="11"/>
  <c r="AT22" i="1" s="1"/>
  <c r="L13" i="11"/>
  <c r="R22" i="1" s="1"/>
  <c r="G13" i="11"/>
  <c r="P22" i="1" s="1"/>
  <c r="AG12" i="11"/>
  <c r="AA12" i="11"/>
  <c r="V12" i="11"/>
  <c r="Q12" i="11"/>
  <c r="L12" i="11"/>
  <c r="R21" i="1" s="1"/>
  <c r="J12" i="11"/>
  <c r="AG11" i="11"/>
  <c r="AD11" i="11"/>
  <c r="AA11" i="11" s="1"/>
  <c r="V11" i="11"/>
  <c r="Q11" i="11"/>
  <c r="L11" i="11"/>
  <c r="G11" i="11"/>
  <c r="AG10" i="11"/>
  <c r="AC10" i="11"/>
  <c r="AA10" i="11" s="1"/>
  <c r="V10" i="11"/>
  <c r="Q10" i="11"/>
  <c r="L10" i="11"/>
  <c r="I10" i="11"/>
  <c r="G10" i="11" s="1"/>
  <c r="AH9" i="11"/>
  <c r="AG9" i="11" s="1"/>
  <c r="AC9" i="11"/>
  <c r="AA9" i="11" s="1"/>
  <c r="V9" i="11"/>
  <c r="Q9" i="11"/>
  <c r="L9" i="11"/>
  <c r="G9" i="11"/>
  <c r="AG8" i="11"/>
  <c r="AD8" i="11"/>
  <c r="AC8" i="11" s="1"/>
  <c r="AA8" i="11" s="1"/>
  <c r="V8" i="11"/>
  <c r="Q8" i="11"/>
  <c r="O8" i="11"/>
  <c r="L8" i="11" s="1"/>
  <c r="G8" i="11"/>
  <c r="AZ7" i="11"/>
  <c r="AY7" i="11"/>
  <c r="AU7" i="11"/>
  <c r="AG7" i="11"/>
  <c r="AD7" i="11"/>
  <c r="AC7" i="11" s="1"/>
  <c r="AA7" i="11" s="1"/>
  <c r="V7" i="11"/>
  <c r="T7" i="11"/>
  <c r="S7" i="11"/>
  <c r="L7" i="11"/>
  <c r="G7" i="11"/>
  <c r="AG6" i="11"/>
  <c r="AF6" i="11"/>
  <c r="AE6" i="11"/>
  <c r="AD6" i="11"/>
  <c r="AB6" i="11"/>
  <c r="Z6" i="11"/>
  <c r="Y6" i="11"/>
  <c r="X6" i="11"/>
  <c r="W6" i="11"/>
  <c r="U6" i="11"/>
  <c r="R6" i="11"/>
  <c r="Q6" i="11"/>
  <c r="AT20" i="1" s="1"/>
  <c r="O6" i="11"/>
  <c r="L6" i="11" s="1"/>
  <c r="K6" i="11"/>
  <c r="G6" i="11" s="1"/>
  <c r="P20" i="1" s="1"/>
  <c r="AG5" i="11"/>
  <c r="AA5" i="11"/>
  <c r="V5" i="11"/>
  <c r="Q5" i="11"/>
  <c r="L5" i="11"/>
  <c r="G5" i="11"/>
  <c r="IY22" i="1"/>
  <c r="IQ22" i="1" s="1"/>
  <c r="IO22" i="1"/>
  <c r="FV22" i="1"/>
  <c r="FT22" i="1"/>
  <c r="FL22" i="1"/>
  <c r="FJ22" i="1"/>
  <c r="FN22" i="1" s="1"/>
  <c r="FD22" i="1"/>
  <c r="FB22" i="1"/>
  <c r="EX22" i="1"/>
  <c r="ET22" i="1" s="1"/>
  <c r="ER22" i="1"/>
  <c r="EL22" i="1"/>
  <c r="EJ22" i="1"/>
  <c r="DJ22" i="1" s="1"/>
  <c r="EB22" i="1"/>
  <c r="DZ22" i="1"/>
  <c r="ED22" i="1" s="1"/>
  <c r="DV22" i="1"/>
  <c r="DR22" i="1" s="1"/>
  <c r="DP22" i="1"/>
  <c r="CP22" i="1" s="1"/>
  <c r="DH22" i="1"/>
  <c r="CH22" i="1" s="1"/>
  <c r="DB22" i="1"/>
  <c r="CZ22" i="1"/>
  <c r="BZ22" i="1" s="1"/>
  <c r="CX22" i="1"/>
  <c r="CT22" i="1"/>
  <c r="CL22" i="1"/>
  <c r="CD22" i="1"/>
  <c r="BV22" i="1"/>
  <c r="BR22" i="1"/>
  <c r="BN22" i="1" s="1"/>
  <c r="BL22" i="1"/>
  <c r="AL22" i="1" s="1"/>
  <c r="BJ22" i="1"/>
  <c r="BF22" i="1"/>
  <c r="BD22" i="1"/>
  <c r="BB22" i="1"/>
  <c r="AX22" i="1"/>
  <c r="AV22" i="1"/>
  <c r="AR22" i="1"/>
  <c r="AP22" i="1"/>
  <c r="AN22" i="1"/>
  <c r="N22" i="1" s="1"/>
  <c r="AH22" i="1"/>
  <c r="IY21" i="1"/>
  <c r="IQ21" i="1" s="1"/>
  <c r="IO21" i="1"/>
  <c r="FV21" i="1"/>
  <c r="FT21" i="1"/>
  <c r="FL21" i="1"/>
  <c r="FJ21" i="1"/>
  <c r="FN21" i="1" s="1"/>
  <c r="FD21" i="1"/>
  <c r="FB21" i="1"/>
  <c r="EX21" i="1"/>
  <c r="ET21" i="1" s="1"/>
  <c r="ER21" i="1"/>
  <c r="EL21" i="1"/>
  <c r="EJ21" i="1"/>
  <c r="DJ21" i="1" s="1"/>
  <c r="EB21" i="1"/>
  <c r="DZ21" i="1"/>
  <c r="ED21" i="1" s="1"/>
  <c r="DV21" i="1"/>
  <c r="DR21" i="1" s="1"/>
  <c r="DP21" i="1"/>
  <c r="CP21" i="1" s="1"/>
  <c r="DH21" i="1"/>
  <c r="CH21" i="1" s="1"/>
  <c r="DB21" i="1"/>
  <c r="CZ21" i="1"/>
  <c r="BZ21" i="1" s="1"/>
  <c r="CX21" i="1"/>
  <c r="CT21" i="1"/>
  <c r="CL21" i="1"/>
  <c r="CD21" i="1"/>
  <c r="BV21" i="1"/>
  <c r="BR21" i="1"/>
  <c r="BN21" i="1" s="1"/>
  <c r="BL21" i="1"/>
  <c r="AL21" i="1" s="1"/>
  <c r="BF21" i="1"/>
  <c r="BD21" i="1"/>
  <c r="BB21" i="1"/>
  <c r="AX21" i="1"/>
  <c r="AV21" i="1"/>
  <c r="AT21" i="1"/>
  <c r="AR21" i="1"/>
  <c r="AP21" i="1"/>
  <c r="AN21" i="1"/>
  <c r="N21" i="1" s="1"/>
  <c r="AH21" i="1"/>
  <c r="IY20" i="1"/>
  <c r="IQ20" i="1" s="1"/>
  <c r="IO20" i="1"/>
  <c r="FV20" i="1"/>
  <c r="FP20" i="1"/>
  <c r="FT20" i="1" s="1"/>
  <c r="FJ20" i="1"/>
  <c r="FN20" i="1" s="1"/>
  <c r="FB20" i="1"/>
  <c r="EZ20" i="1"/>
  <c r="FD20" i="1" s="1"/>
  <c r="EX20" i="1"/>
  <c r="ET20" i="1" s="1"/>
  <c r="ER20" i="1"/>
  <c r="EL20" i="1"/>
  <c r="EJ20" i="1"/>
  <c r="DJ20" i="1" s="1"/>
  <c r="DZ20" i="1"/>
  <c r="ED20" i="1" s="1"/>
  <c r="DX20" i="1"/>
  <c r="EB20" i="1" s="1"/>
  <c r="DV20" i="1"/>
  <c r="DT20" i="1"/>
  <c r="DP20" i="1" s="1"/>
  <c r="DR20" i="1"/>
  <c r="CV20" i="1"/>
  <c r="CZ20" i="1" s="1"/>
  <c r="BZ20" i="1" s="1"/>
  <c r="CH20" i="1"/>
  <c r="CD20" i="1"/>
  <c r="BT20" i="1"/>
  <c r="BX20" i="1" s="1"/>
  <c r="BR20" i="1"/>
  <c r="BJ20" i="1"/>
  <c r="BH20" i="1"/>
  <c r="AH20" i="1" s="1"/>
  <c r="BF20" i="1"/>
  <c r="BB20" i="1"/>
  <c r="AZ20" i="1"/>
  <c r="AX20" i="1"/>
  <c r="AV20" i="1"/>
  <c r="AP20" i="1"/>
  <c r="JA19" i="1"/>
  <c r="IY19" i="1"/>
  <c r="IQ19" i="1" s="1"/>
  <c r="IO19" i="1"/>
  <c r="FV19" i="1"/>
  <c r="FT19" i="1"/>
  <c r="FL19" i="1"/>
  <c r="FJ19" i="1"/>
  <c r="FN19" i="1" s="1"/>
  <c r="FD19" i="1"/>
  <c r="FB19" i="1"/>
  <c r="EX19" i="1"/>
  <c r="ET19" i="1" s="1"/>
  <c r="ER19" i="1"/>
  <c r="EL19" i="1"/>
  <c r="EJ19" i="1"/>
  <c r="DJ19" i="1" s="1"/>
  <c r="EB19" i="1"/>
  <c r="DZ19" i="1"/>
  <c r="ED19" i="1" s="1"/>
  <c r="DV19" i="1"/>
  <c r="DB19" i="1"/>
  <c r="CZ19" i="1"/>
  <c r="BZ19" i="1" s="1"/>
  <c r="CX19" i="1"/>
  <c r="CT19" i="1"/>
  <c r="CP19" i="1"/>
  <c r="CL19" i="1"/>
  <c r="CH19" i="1"/>
  <c r="CD19" i="1"/>
  <c r="BV19" i="1"/>
  <c r="FJ18" i="1"/>
  <c r="FH18" i="1"/>
  <c r="FB18" i="1"/>
  <c r="EZ18" i="1"/>
  <c r="EX18" i="1"/>
  <c r="EV18" i="1"/>
  <c r="DZ18" i="1"/>
  <c r="DX18" i="1"/>
  <c r="CP18" i="1"/>
  <c r="CN18" i="1"/>
  <c r="CL18" i="1"/>
  <c r="CJ18" i="1"/>
  <c r="CH18" i="1"/>
  <c r="CF18" i="1"/>
  <c r="CD18" i="1"/>
  <c r="CB18" i="1"/>
  <c r="BZ18" i="1"/>
  <c r="BX18" i="1"/>
  <c r="BV18" i="1"/>
  <c r="BT18" i="1"/>
  <c r="BR18" i="1"/>
  <c r="BP18" i="1"/>
  <c r="BN18" i="1"/>
  <c r="BL18" i="1"/>
  <c r="BJ18" i="1"/>
  <c r="BH18" i="1"/>
  <c r="BF18" i="1"/>
  <c r="BD18" i="1"/>
  <c r="BB18" i="1"/>
  <c r="AZ18" i="1"/>
  <c r="AX18" i="1"/>
  <c r="AV18" i="1"/>
  <c r="AT18" i="1"/>
  <c r="AR18" i="1"/>
  <c r="AP18" i="1"/>
  <c r="AN18" i="1"/>
  <c r="AL18" i="1"/>
  <c r="AJ18" i="1"/>
  <c r="AH18" i="1"/>
  <c r="AF18" i="1"/>
  <c r="JA7" i="1"/>
  <c r="IY7" i="1"/>
  <c r="JC7" i="1" s="1"/>
  <c r="IQ7" i="1"/>
  <c r="IO7" i="1"/>
  <c r="FV7" i="1"/>
  <c r="FT7" i="1"/>
  <c r="FL7" i="1"/>
  <c r="FJ7" i="1"/>
  <c r="FN7" i="1" s="1"/>
  <c r="FD7" i="1"/>
  <c r="FB7" i="1"/>
  <c r="FF7" i="1" s="1"/>
  <c r="EX7" i="1"/>
  <c r="ET7" i="1"/>
  <c r="ER7" i="1"/>
  <c r="EJ7" i="1"/>
  <c r="EH7" i="1"/>
  <c r="EL7" i="1" s="1"/>
  <c r="EB7" i="1"/>
  <c r="DZ7" i="1"/>
  <c r="ED7" i="1" s="1"/>
  <c r="DV7" i="1"/>
  <c r="DR7" i="1"/>
  <c r="DN7" i="1"/>
  <c r="DH7" i="1"/>
  <c r="DF7" i="1"/>
  <c r="DJ7" i="1" s="1"/>
  <c r="CZ7" i="1"/>
  <c r="BZ7" i="1" s="1"/>
  <c r="CX7" i="1"/>
  <c r="DB7" i="1" s="1"/>
  <c r="CT7" i="1"/>
  <c r="CN7" i="1"/>
  <c r="CL7" i="1"/>
  <c r="CP7" i="1" s="1"/>
  <c r="CH7" i="1"/>
  <c r="CD7" i="1"/>
  <c r="BV7" i="1"/>
  <c r="BL7" i="1"/>
  <c r="BJ7" i="1"/>
  <c r="BN7" i="1" s="1"/>
  <c r="BF7" i="1"/>
  <c r="BD7" i="1"/>
  <c r="BB7" i="1"/>
  <c r="AX7" i="1"/>
  <c r="AT7" i="1"/>
  <c r="AP7" i="1"/>
  <c r="JC6" i="1"/>
  <c r="JA6" i="1"/>
  <c r="IQ6" i="1"/>
  <c r="IO6" i="1"/>
  <c r="FN6" i="1"/>
  <c r="FL6" i="1"/>
  <c r="FF6" i="1"/>
  <c r="FD6" i="1"/>
  <c r="EX6" i="1"/>
  <c r="ET6" i="1"/>
  <c r="ER6" i="1"/>
  <c r="EL6" i="1"/>
  <c r="EJ6" i="1"/>
  <c r="ED6" i="1"/>
  <c r="EB6" i="1"/>
  <c r="DR6" i="1"/>
  <c r="DP6" i="1"/>
  <c r="DB6" i="1"/>
  <c r="CZ6" i="1"/>
  <c r="BZ6" i="1" s="1"/>
  <c r="CT6" i="1"/>
  <c r="CR6" i="1"/>
  <c r="CL6" i="1"/>
  <c r="CJ6" i="1"/>
  <c r="CH6" i="1"/>
  <c r="CF6" i="1"/>
  <c r="CD6" i="1"/>
  <c r="CB6" i="1"/>
  <c r="BB6" i="1" s="1"/>
  <c r="BF6" i="1" s="1"/>
  <c r="BV6" i="1"/>
  <c r="BT6" i="1"/>
  <c r="BR6" i="1"/>
  <c r="BN6" i="1" s="1"/>
  <c r="BP6" i="1"/>
  <c r="AP6" i="1" s="1"/>
  <c r="AZ6" i="1"/>
  <c r="BD6" i="1" s="1"/>
  <c r="AT6" i="1"/>
  <c r="AR6" i="1"/>
  <c r="AN6" i="1"/>
  <c r="N6" i="1" s="1"/>
  <c r="AL6" i="1"/>
  <c r="AJ6" i="1"/>
  <c r="AH6" i="1"/>
  <c r="AF6" i="1"/>
  <c r="AD6" i="1"/>
  <c r="AB6" i="1"/>
  <c r="Z6" i="1"/>
  <c r="V6" i="1" s="1"/>
  <c r="X6" i="1"/>
  <c r="T6" i="1" s="1"/>
  <c r="JC5" i="1"/>
  <c r="JA5" i="1"/>
  <c r="IQ5" i="1"/>
  <c r="IO5" i="1"/>
  <c r="FN5" i="1"/>
  <c r="FL5" i="1"/>
  <c r="FF5" i="1"/>
  <c r="FD5" i="1"/>
  <c r="EX5" i="1"/>
  <c r="ET5" i="1" s="1"/>
  <c r="ER5" i="1"/>
  <c r="EL5" i="1"/>
  <c r="EJ5" i="1"/>
  <c r="ED5" i="1"/>
  <c r="EB5" i="1"/>
  <c r="DR5" i="1"/>
  <c r="DP5" i="1"/>
  <c r="DB5" i="1"/>
  <c r="CZ5" i="1"/>
  <c r="BZ5" i="1" s="1"/>
  <c r="CT5" i="1"/>
  <c r="CR5" i="1"/>
  <c r="CL5" i="1"/>
  <c r="CJ5" i="1"/>
  <c r="CH5" i="1"/>
  <c r="CF5" i="1"/>
  <c r="CD5" i="1"/>
  <c r="CB5" i="1"/>
  <c r="BB5" i="1" s="1"/>
  <c r="BF5" i="1" s="1"/>
  <c r="BV5" i="1"/>
  <c r="BT5" i="1"/>
  <c r="BR5" i="1"/>
  <c r="BN5" i="1" s="1"/>
  <c r="BP5" i="1"/>
  <c r="AP5" i="1" s="1"/>
  <c r="AZ5" i="1"/>
  <c r="BD5" i="1" s="1"/>
  <c r="AT5" i="1"/>
  <c r="AR5" i="1"/>
  <c r="AN5" i="1"/>
  <c r="N5" i="1" s="1"/>
  <c r="AL5" i="1"/>
  <c r="AJ5" i="1"/>
  <c r="AH5" i="1"/>
  <c r="AF5" i="1"/>
  <c r="AD5" i="1"/>
  <c r="AB5" i="1"/>
  <c r="Z5" i="1"/>
  <c r="V5" i="1" s="1"/>
  <c r="X5" i="1"/>
  <c r="T5" i="1" s="1"/>
  <c r="JC4" i="1"/>
  <c r="JA4" i="1"/>
  <c r="IQ4" i="1"/>
  <c r="IO4" i="1"/>
  <c r="FN4" i="1"/>
  <c r="FL4" i="1"/>
  <c r="FF4" i="1"/>
  <c r="FD4" i="1"/>
  <c r="EX4" i="1"/>
  <c r="ET4" i="1" s="1"/>
  <c r="ER4" i="1"/>
  <c r="EL4" i="1"/>
  <c r="EJ4" i="1"/>
  <c r="ED4" i="1"/>
  <c r="EB4" i="1"/>
  <c r="DR4" i="1"/>
  <c r="DP4" i="1"/>
  <c r="DB4" i="1"/>
  <c r="CZ4" i="1"/>
  <c r="CT4" i="1"/>
  <c r="CR4" i="1"/>
  <c r="CL4" i="1"/>
  <c r="CJ4" i="1"/>
  <c r="CH4" i="1"/>
  <c r="CF4" i="1"/>
  <c r="CD4" i="1"/>
  <c r="CB4" i="1"/>
  <c r="BB4" i="1" s="1"/>
  <c r="BF4" i="1" s="1"/>
  <c r="BZ4" i="1"/>
  <c r="BV4" i="1"/>
  <c r="BT4" i="1"/>
  <c r="BR4" i="1"/>
  <c r="BN4" i="1" s="1"/>
  <c r="BP4" i="1"/>
  <c r="AP4" i="1" s="1"/>
  <c r="AZ4" i="1"/>
  <c r="BD4" i="1" s="1"/>
  <c r="AT4" i="1"/>
  <c r="AR4" i="1"/>
  <c r="AN4" i="1"/>
  <c r="N4" i="1" s="1"/>
  <c r="AL4" i="1"/>
  <c r="AJ4" i="1"/>
  <c r="AH4" i="1"/>
  <c r="AF4" i="1"/>
  <c r="AD4" i="1"/>
  <c r="AB4" i="1"/>
  <c r="Z4" i="1"/>
  <c r="X4" i="1"/>
  <c r="JC3" i="1"/>
  <c r="JA3" i="1"/>
  <c r="IQ3" i="1"/>
  <c r="IO3" i="1"/>
  <c r="FN3" i="1"/>
  <c r="FL3" i="1"/>
  <c r="FF3" i="1"/>
  <c r="FD3" i="1"/>
  <c r="EX3" i="1"/>
  <c r="ET3" i="1" s="1"/>
  <c r="ER3" i="1"/>
  <c r="EL3" i="1"/>
  <c r="EJ3" i="1"/>
  <c r="ED3" i="1"/>
  <c r="EB3" i="1"/>
  <c r="DR3" i="1"/>
  <c r="DP3" i="1"/>
  <c r="DB3" i="1"/>
  <c r="CZ3" i="1"/>
  <c r="BZ3" i="1" s="1"/>
  <c r="CT3" i="1"/>
  <c r="CR3" i="1"/>
  <c r="CL3" i="1"/>
  <c r="CJ3" i="1"/>
  <c r="CH3" i="1"/>
  <c r="CF3" i="1"/>
  <c r="CD3" i="1"/>
  <c r="CB3" i="1"/>
  <c r="BV3" i="1"/>
  <c r="BT3" i="1"/>
  <c r="BR3" i="1"/>
  <c r="BN3" i="1" s="1"/>
  <c r="BP3" i="1"/>
  <c r="BL3" i="1" s="1"/>
  <c r="BB3" i="1"/>
  <c r="BF3" i="1" s="1"/>
  <c r="AZ3" i="1"/>
  <c r="BD3" i="1" s="1"/>
  <c r="AT3" i="1"/>
  <c r="AR3" i="1"/>
  <c r="AN3" i="1"/>
  <c r="N3" i="1" s="1"/>
  <c r="AL3" i="1"/>
  <c r="AJ3" i="1"/>
  <c r="AH3" i="1"/>
  <c r="AF3" i="1"/>
  <c r="AD3" i="1"/>
  <c r="AB3" i="1"/>
  <c r="Z3" i="1"/>
  <c r="X3" i="1"/>
  <c r="V14" i="11" a="1"/>
  <c r="Q14" i="11" a="1"/>
  <c r="L14" i="11" a="1"/>
  <c r="G14" i="11" a="1"/>
  <c r="AA14" i="11" a="1"/>
  <c r="BH19" i="20" l="1"/>
  <c r="CO22" i="20"/>
  <c r="CP6" i="20"/>
  <c r="BF8" i="20"/>
  <c r="BH6" i="20"/>
  <c r="BG8" i="20"/>
  <c r="BH8" i="20"/>
  <c r="CO21" i="20"/>
  <c r="CP21" i="20"/>
  <c r="CP22" i="20"/>
  <c r="CQ22" i="20"/>
  <c r="BF9" i="4"/>
  <c r="AJ7" i="4"/>
  <c r="BF11" i="4"/>
  <c r="BE7" i="4"/>
  <c r="CQ6" i="20"/>
  <c r="CP7" i="20"/>
  <c r="CQ7" i="20"/>
  <c r="CO9" i="20"/>
  <c r="X12" i="4"/>
  <c r="Y12" i="4"/>
  <c r="BF11" i="20"/>
  <c r="CQ19" i="20"/>
  <c r="BH21" i="20"/>
  <c r="CO4" i="20"/>
  <c r="BG5" i="20"/>
  <c r="BH9" i="20"/>
  <c r="CQ9" i="20"/>
  <c r="BF16" i="20"/>
  <c r="CO16" i="20"/>
  <c r="CP8" i="20"/>
  <c r="BG16" i="20"/>
  <c r="CP16" i="20"/>
  <c r="BG18" i="20"/>
  <c r="BF4" i="20"/>
  <c r="BF6" i="20"/>
  <c r="CQ8" i="20"/>
  <c r="BH18" i="20"/>
  <c r="CO18" i="20"/>
  <c r="BG6" i="20"/>
  <c r="CO6" i="20"/>
  <c r="CP18" i="20"/>
  <c r="BH20" i="20"/>
  <c r="CQ18" i="20"/>
  <c r="R20" i="1"/>
  <c r="AR20" i="1"/>
  <c r="Q7" i="11"/>
  <c r="V6" i="11"/>
  <c r="AN20" i="1"/>
  <c r="N20" i="1" s="1"/>
  <c r="AA6" i="11"/>
  <c r="BL4" i="1"/>
  <c r="CP5" i="1"/>
  <c r="CT20" i="1"/>
  <c r="FF19" i="1"/>
  <c r="AB12" i="4"/>
  <c r="AK6" i="4"/>
  <c r="BF7" i="4"/>
  <c r="BF8" i="4"/>
  <c r="CF12" i="4"/>
  <c r="AJ5" i="4"/>
  <c r="CG12" i="4"/>
  <c r="DK12" i="4"/>
  <c r="AK5" i="4"/>
  <c r="BF5" i="4"/>
  <c r="BE9" i="4"/>
  <c r="AA12" i="4"/>
  <c r="AJ6" i="4"/>
  <c r="AJ8" i="4"/>
  <c r="BE10" i="4"/>
  <c r="T3" i="1"/>
  <c r="BH5" i="20"/>
  <c r="BG4" i="20"/>
  <c r="CE12" i="20"/>
  <c r="BH11" i="20"/>
  <c r="BH16" i="20"/>
  <c r="CQ16" i="20"/>
  <c r="BF17" i="20"/>
  <c r="BF19" i="20"/>
  <c r="CO19" i="20"/>
  <c r="CO20" i="20"/>
  <c r="BG23" i="20"/>
  <c r="CQ4" i="20"/>
  <c r="BH4" i="20"/>
  <c r="CO7" i="20"/>
  <c r="BG17" i="20"/>
  <c r="BG19" i="20"/>
  <c r="CP19" i="20"/>
  <c r="CP20" i="20"/>
  <c r="BH23" i="20"/>
  <c r="BF5" i="20"/>
  <c r="BF20" i="20"/>
  <c r="CQ20" i="20"/>
  <c r="BF21" i="20"/>
  <c r="CG12" i="20"/>
  <c r="BF7" i="20"/>
  <c r="BG7" i="20"/>
  <c r="CO8" i="20"/>
  <c r="BF18" i="20"/>
  <c r="BG20" i="20"/>
  <c r="BG21" i="20"/>
  <c r="C24" i="19"/>
  <c r="C58" i="19" s="1"/>
  <c r="C60" i="19" s="1"/>
  <c r="AD19" i="11"/>
  <c r="AC19" i="11" s="1"/>
  <c r="AA19" i="11" s="1"/>
  <c r="BX6" i="1"/>
  <c r="U12" i="4"/>
  <c r="T4" i="1"/>
  <c r="V3" i="1"/>
  <c r="V4" i="1"/>
  <c r="D58" i="19"/>
  <c r="D58" i="2"/>
  <c r="CP12" i="4"/>
  <c r="CU12" i="4"/>
  <c r="DV12" i="4"/>
  <c r="BE5" i="4"/>
  <c r="CO12" i="4"/>
  <c r="DQ12" i="4"/>
  <c r="CV12" i="4"/>
  <c r="DW12" i="4"/>
  <c r="DA12" i="4"/>
  <c r="DB12" i="4"/>
  <c r="FE12" i="4"/>
  <c r="AJ9" i="4"/>
  <c r="AJ10" i="4"/>
  <c r="DP12" i="4"/>
  <c r="FD12" i="4"/>
  <c r="DJ12" i="4"/>
  <c r="AK8" i="4"/>
  <c r="BE8" i="4"/>
  <c r="AK10" i="4"/>
  <c r="BF10" i="4"/>
  <c r="C58" i="2"/>
  <c r="BL5" i="1"/>
  <c r="CN4" i="1"/>
  <c r="BX4" i="1"/>
  <c r="CP4" i="1"/>
  <c r="CX20" i="1"/>
  <c r="BX3" i="1"/>
  <c r="CN3" i="1"/>
  <c r="CN6" i="1"/>
  <c r="CP3" i="1"/>
  <c r="CN5" i="1"/>
  <c r="CP6" i="1"/>
  <c r="BD20" i="1"/>
  <c r="BX5" i="1"/>
  <c r="AV6" i="1"/>
  <c r="AX6" i="1"/>
  <c r="FF21" i="1"/>
  <c r="FF22" i="1"/>
  <c r="BN20" i="1"/>
  <c r="AP3" i="1"/>
  <c r="BL6" i="1"/>
  <c r="DB20" i="1"/>
  <c r="FF20" i="1"/>
  <c r="BL20" i="1"/>
  <c r="AL20" i="1" s="1"/>
  <c r="FL20" i="1"/>
  <c r="BV20" i="1"/>
  <c r="G14" i="11"/>
  <c r="L14" i="11"/>
  <c r="Q14" i="11"/>
  <c r="V14" i="11"/>
  <c r="AA14" i="11"/>
  <c r="AV3" i="1" l="1"/>
  <c r="AX5" i="1"/>
  <c r="AX4" i="1"/>
  <c r="AV5" i="1"/>
  <c r="AX3" i="1"/>
  <c r="AV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<sst xmlns="http://schemas.openxmlformats.org/spreadsheetml/2006/main" count="2244" uniqueCount="1034">
  <si>
    <t>EBITDA</t>
  </si>
  <si>
    <t>CAPEX</t>
  </si>
  <si>
    <t>TWh</t>
  </si>
  <si>
    <t>Łaziska</t>
  </si>
  <si>
    <t>Łagisza</t>
  </si>
  <si>
    <t>Siersza</t>
  </si>
  <si>
    <t>Blachownia</t>
  </si>
  <si>
    <t>Stalowa Wola</t>
  </si>
  <si>
    <t>ZW Nowa</t>
  </si>
  <si>
    <t>ZW Katowice</t>
  </si>
  <si>
    <t>ZW Bielsko-Biała</t>
  </si>
  <si>
    <t>EC-1</t>
  </si>
  <si>
    <t>EC-2</t>
  </si>
  <si>
    <t>-</t>
  </si>
  <si>
    <t>Zagórze</t>
  </si>
  <si>
    <t>Lipniki</t>
  </si>
  <si>
    <t>Marszewo</t>
  </si>
  <si>
    <t>Wicko</t>
  </si>
  <si>
    <t>Segment Wydobycie</t>
  </si>
  <si>
    <t>Segment Wytwarzanie</t>
  </si>
  <si>
    <t>Segment Dystrybucja</t>
  </si>
  <si>
    <t>Segment OZE</t>
  </si>
  <si>
    <t>Segment Sprzedaż</t>
  </si>
  <si>
    <t>Segment Ciepło</t>
  </si>
  <si>
    <t>Pozostałe</t>
  </si>
  <si>
    <t>Segment Obsługa Klienta</t>
  </si>
  <si>
    <t>Nakłady inwestycyjne</t>
  </si>
  <si>
    <t>Bilans</t>
  </si>
  <si>
    <t>ZW Tychy (BC-50)</t>
  </si>
  <si>
    <t>TAURON WYTWARZANIE</t>
  </si>
  <si>
    <t>TAURON CIEPŁO</t>
  </si>
  <si>
    <t>TAURON EKOENERGIA</t>
  </si>
  <si>
    <t>PJ</t>
  </si>
  <si>
    <t>w tym: ze źródeł odnawialnych / including production from renewables</t>
  </si>
  <si>
    <t>biomasa /biomass</t>
  </si>
  <si>
    <t xml:space="preserve"> elektrownie wodne /  hydropower plants</t>
  </si>
  <si>
    <t xml:space="preserve"> elektrownie wiatrowe / wind farms</t>
  </si>
  <si>
    <t>Wytwarzanie ciepła / Heat production</t>
  </si>
  <si>
    <t>Dystrybucja energii elektrycznej / Electricity distribution</t>
  </si>
  <si>
    <t>Sprzedaż detaliczna energii elektrycznej / Retail sale of electricity</t>
  </si>
  <si>
    <t>Liczba klientów – Dystrybucja / No of customers - Distribution</t>
  </si>
  <si>
    <t>Sprzedaż węgla kamiennego /Hard coal sale</t>
  </si>
  <si>
    <t>Produkcja węgla handlowego / Commercial hard coal production</t>
  </si>
  <si>
    <t>tys. / thou.</t>
  </si>
  <si>
    <t>mln Mg (million tons)</t>
  </si>
  <si>
    <r>
      <t>Produkcja energii elektrycznej brutto/ Gross electricity production</t>
    </r>
    <r>
      <rPr>
        <sz val="15"/>
        <color rgb="FFFF0000"/>
        <rFont val="Arial"/>
        <family val="2"/>
        <charset val="238"/>
      </rPr>
      <t>*</t>
    </r>
  </si>
  <si>
    <t>Przychody ze sprzedaży / Sales revenue</t>
  </si>
  <si>
    <t>Zysk netto / Net profit</t>
  </si>
  <si>
    <t>Dług netto/EBITDA / Net debt/EBITDA ratio</t>
  </si>
  <si>
    <t>Produkcja węgla/ Hard coal production</t>
  </si>
  <si>
    <t>Wytwarzanie energii elektrycznej / Electricity generation</t>
  </si>
  <si>
    <t>mln t (million tons)</t>
  </si>
  <si>
    <t>Rodzaj jednostki / Type</t>
  </si>
  <si>
    <t>Energia elektryczna (MWe)* / Electric capacity</t>
  </si>
  <si>
    <t>Ciepło (MWt)*/ Thermal capacity</t>
  </si>
  <si>
    <t>Jaworzno III (bloki 1-6) / Jaworzno III (units 1-6)</t>
  </si>
  <si>
    <t>Jaworzno II (bloki 2 i 3) /  Jaworzno II (units 2 and 3)</t>
  </si>
  <si>
    <t>Generation unit</t>
  </si>
  <si>
    <t>Bloki 1 i 2 (units 1 and 2)</t>
  </si>
  <si>
    <t>Bloki 9-12 (units 9-12)</t>
  </si>
  <si>
    <t>Bloki 6-7 (units 6-7)</t>
  </si>
  <si>
    <t>Blok 10 (unit 10)</t>
  </si>
  <si>
    <t>Bloki 1-2 (units 1-2)</t>
  </si>
  <si>
    <t>Bloki 3 i 6 (units 3 and 6)</t>
  </si>
  <si>
    <t>Elektrownia / Power plant</t>
  </si>
  <si>
    <t>od 10 grudnia 2014 r. przekazana do spółki TAMEH Polska / since December 10, 2014 the unit was transferred to TAMEH Polska</t>
  </si>
  <si>
    <t>Bloki 7-8 (units 7-8)</t>
  </si>
  <si>
    <t>blok biomasowy / biomass unit</t>
  </si>
  <si>
    <t>Układ kolektorowy / collector system</t>
  </si>
  <si>
    <t>Pozostałe źródła (ciepłownie lokalne i Kamienna Góra) Other units (local heating plants and Kamienna Góra)</t>
  </si>
  <si>
    <t>Elektrociepłownia / CHP</t>
  </si>
  <si>
    <t>Elektrownie wodne / Hydropower plants</t>
  </si>
  <si>
    <t>Farmy wiatrowe / Wind farms</t>
  </si>
  <si>
    <t>* moc zainstalowana / installed capacity</t>
  </si>
  <si>
    <t>Wyniki segmentów / Segment's results</t>
  </si>
  <si>
    <t>Segment Wydobycie Mining Segment</t>
  </si>
  <si>
    <t>Segment Dystrybucja / Distribution Segment</t>
  </si>
  <si>
    <t>Segment Sprzedaż / Supply Segment</t>
  </si>
  <si>
    <t>Pozostałe / Other</t>
  </si>
  <si>
    <t>Segment Wydobycie / Mining segment</t>
  </si>
  <si>
    <t>Segment Wytwarzanie / Generation segment</t>
  </si>
  <si>
    <t>Segment OZE / RES segment</t>
  </si>
  <si>
    <t>Segment Ciepło / Heat segment</t>
  </si>
  <si>
    <t>Segment Dystrybucja / Distribution segment</t>
  </si>
  <si>
    <t>Segment Sprzedaż / Supply segment</t>
  </si>
  <si>
    <t>Segment Obsługa Klienta / Customer Service segment</t>
  </si>
  <si>
    <t>Other</t>
  </si>
  <si>
    <t xml:space="preserve"> EBITDA 2014</t>
  </si>
  <si>
    <t xml:space="preserve"> EBIT 2014</t>
  </si>
  <si>
    <t xml:space="preserve"> EBITDA 2013</t>
  </si>
  <si>
    <t xml:space="preserve"> EBIT 2013</t>
  </si>
  <si>
    <t xml:space="preserve"> EBITDA Q4 2014</t>
  </si>
  <si>
    <t xml:space="preserve"> EBIT Q4 2014</t>
  </si>
  <si>
    <t xml:space="preserve"> EBITDA Q4 2013</t>
  </si>
  <si>
    <t>EBITDA 
Q1-Q3 2014</t>
  </si>
  <si>
    <t>EBIT 
Q1-Q3 2014</t>
  </si>
  <si>
    <t>EBITDA 
Q1-Q3 2013</t>
  </si>
  <si>
    <t xml:space="preserve">EBITDA 
Q2 2014 </t>
  </si>
  <si>
    <t xml:space="preserve">EBIT 
Q2 2014 </t>
  </si>
  <si>
    <t xml:space="preserve">EBITDA 
H1 2013 </t>
  </si>
  <si>
    <t xml:space="preserve">EBIT 
H1 2013 </t>
  </si>
  <si>
    <t xml:space="preserve">EBIT 
Q1-Q3 2013 </t>
  </si>
  <si>
    <t xml:space="preserve">EBITDA 
H1 2014 </t>
  </si>
  <si>
    <t xml:space="preserve">EBIT 
H1 2014 </t>
  </si>
  <si>
    <t xml:space="preserve">EBITDA 
Q2 2013 </t>
  </si>
  <si>
    <t xml:space="preserve">EBIT 
Q2 2013 </t>
  </si>
  <si>
    <t>Przychody ze sprzedaży Q2 2013  / Sales revenue Q2 2013</t>
  </si>
  <si>
    <t>Przychody ze sprzedaży 
Q1 2018 / Sales revenue Q1 2018</t>
  </si>
  <si>
    <t>EBITDA 
Q1 2018</t>
  </si>
  <si>
    <t>EBITDA 
Q1 2017</t>
  </si>
  <si>
    <t xml:space="preserve">EBIT 
Q1 2018 </t>
  </si>
  <si>
    <t xml:space="preserve">EBIT 
Q1 2017 </t>
  </si>
  <si>
    <t>Aktywa ogółem na dzień 
31 marca 2018 / Total assets as of 31.03.2018</t>
  </si>
  <si>
    <t>Aktywa ogółem na dzień 
31 marca 2017 / Total assets as of 31.03.2017</t>
  </si>
  <si>
    <t>Przychody ze sprzedaży 
Q4 2017 / Sales revenue Q4 2017</t>
  </si>
  <si>
    <t xml:space="preserve">EBITDA 
Q4 2017 </t>
  </si>
  <si>
    <t>EBITDA 
Q4 2016</t>
  </si>
  <si>
    <t xml:space="preserve">EBIT 
Q4 2017 </t>
  </si>
  <si>
    <t xml:space="preserve">EBIT 
Q4 2016 </t>
  </si>
  <si>
    <t>Aktywa ogółem na dzień 
31 grudnia 2017 / Total assets as of 31.12.2017</t>
  </si>
  <si>
    <t>Przychody ze sprzedaży 
2016 / Sales revenue 2016</t>
  </si>
  <si>
    <t xml:space="preserve">EBITDA 
2017 </t>
  </si>
  <si>
    <t>EBIT 
2017</t>
  </si>
  <si>
    <t xml:space="preserve">EBITDA 
2016 </t>
  </si>
  <si>
    <t xml:space="preserve">EBIT 
2016 </t>
  </si>
  <si>
    <t>Aktywa ogółem na dzień 
31 grudnia 2016  / Total assets as of 31.12.2016</t>
  </si>
  <si>
    <t>Aktywa ogółem na dzień 
31 grudnia 2017  / Total assets as of 31.12.2017</t>
  </si>
  <si>
    <t>Przychody ze sprzedaży 
Q3 2017 / Sales revenue Q3 2017</t>
  </si>
  <si>
    <t xml:space="preserve">EBITDA 
Q3 2017 </t>
  </si>
  <si>
    <t xml:space="preserve">EBITDA 
Q3 2016 </t>
  </si>
  <si>
    <t xml:space="preserve">EBIT 
Q3 2017 </t>
  </si>
  <si>
    <t>EBIT 
Q3 2016</t>
  </si>
  <si>
    <t>Aktywa ogółem na dzień 
30 września 2017 / Total assets as of 30.09.2017</t>
  </si>
  <si>
    <t>Aktywa ogółem na dzień 
30 września 2016 / Total assets as of 30.09.2016</t>
  </si>
  <si>
    <t>Przychody ze sprzedaży 
Q2 2017 / Sales revenue Q2 2017</t>
  </si>
  <si>
    <t>Przychody ze sprzedaży 
Q2 2016 / Sales revenue Q2 2016</t>
  </si>
  <si>
    <t xml:space="preserve">EBITDA 
Q2 2017 </t>
  </si>
  <si>
    <t xml:space="preserve">EBITDA 
Q2 2016 </t>
  </si>
  <si>
    <t xml:space="preserve">EBIT 
Q2 2017 </t>
  </si>
  <si>
    <t xml:space="preserve">EBIT 
Q2 2016 </t>
  </si>
  <si>
    <t>Aktywa ogółem na dzień 
30 czerwca 2017 / Total assets as of 30.06.2017</t>
  </si>
  <si>
    <t>Aktywa ogółem na dzień 
31 grudnia 2016 / Total assets as of 31.12.2016</t>
  </si>
  <si>
    <t>Przychody ze sprzedaży 
H1 2017 / Sales revenue H1 2017</t>
  </si>
  <si>
    <t>Przychody ze sprzedaży 
H1 2016 / Sales revenue H1 2017</t>
  </si>
  <si>
    <t xml:space="preserve">EBITDA 
H1 2017 </t>
  </si>
  <si>
    <t xml:space="preserve">EBITDA 
H1 2016 </t>
  </si>
  <si>
    <t xml:space="preserve">EBIT 
H1 2017 </t>
  </si>
  <si>
    <t xml:space="preserve">EBIT 
H1 2016 </t>
  </si>
  <si>
    <t>Przychody ze sprzedaży 
Q1 2017 / Sales revenue Q1 2017</t>
  </si>
  <si>
    <t>Przychody ze sprzedaży 
Q1 2016 / Sales revenue Q1 2016</t>
  </si>
  <si>
    <t xml:space="preserve">EBITDA 
Q1 2017 </t>
  </si>
  <si>
    <t xml:space="preserve">EBITDA 
Q1 2016 </t>
  </si>
  <si>
    <t xml:space="preserve">EBIT 
Q1 2016 </t>
  </si>
  <si>
    <t>Przychody ze sprzedaży 
2016  / Sales revenue 2016</t>
  </si>
  <si>
    <t>Przychody ze sprzedaży 
2015 / Sales revenue 2015</t>
  </si>
  <si>
    <t xml:space="preserve">EBITDA 
2015 </t>
  </si>
  <si>
    <t xml:space="preserve">EBIT 
2015 </t>
  </si>
  <si>
    <t>Aktywa ogółem na dzień 
31 grudnia 2015 / Total assets as of 31.12.2015</t>
  </si>
  <si>
    <t>Aktywa ogółem na dzień 
30 września 2015 / Total assets as of 30.09.2015</t>
  </si>
  <si>
    <t>Aktywa ogółem 
na dzień 30 czerwca 2016 / Total assets as of 30.06.2016</t>
  </si>
  <si>
    <t>Aktywa ogółem 
na dzień 30 czerwca 2015  / Total assets as of 30.06.2015</t>
  </si>
  <si>
    <t>Aktywa ogółem 
na dzień 31 marca 2015 / Total assets as of 31.03.2015</t>
  </si>
  <si>
    <t>Aktywa ogółem 
na dzień 31 marca 2016 / Total assets as of 31.03.2016</t>
  </si>
  <si>
    <t>Przychody ze sprzedaży 
za 2015 / Sales revenue 2015</t>
  </si>
  <si>
    <t>EBITDA 
2015</t>
  </si>
  <si>
    <t>EBIT 
2015</t>
  </si>
  <si>
    <t>Aktywa ogółem 
na dzień 31 grudnia 2015 / Total assets as of 31.12.2015</t>
  </si>
  <si>
    <t>Przychody ze sprzedaży 
za 2014 / Sales revenue 2014</t>
  </si>
  <si>
    <t>EBITDA 
2014</t>
  </si>
  <si>
    <t>EBIT 
2014</t>
  </si>
  <si>
    <t>Aktywa ogółem 
na dzień 31 grudnia 2014 / Total assets as of 31.12.2014</t>
  </si>
  <si>
    <t>Aktywa ogółem na dzień 
30 września 2014 / Total assets as of 30.09.2014</t>
  </si>
  <si>
    <t>Aktywa ogółem 
na dzień 30 czerwca 2015 / Total assets as of 30.06.2015</t>
  </si>
  <si>
    <t>Aktywa ogółem 
na dzień 30 czerwca 2014 / Total assets as of 30.06.2014</t>
  </si>
  <si>
    <t>Aktywa ogółem 
na dzień 31 marca 2015  / Total assets as of 31.03.2015</t>
  </si>
  <si>
    <t>Aktywa ogółem 
na dzień 31 marca 2014  / Total assets as of 31.03.2014</t>
  </si>
  <si>
    <t>Przychody ze sprzedaży za 2014 / Sales revenue 2014</t>
  </si>
  <si>
    <t>Aktywa ogółem na dzień 31 grudnia 2014 / Total assets as of 31.12.2014</t>
  </si>
  <si>
    <t>Przychody ze sprzedaży za 2013 / Sales revenue 2013</t>
  </si>
  <si>
    <t>Aktywa ogółem na dzień 31 grudnia 2013 / Total assets as of 31.12.2013</t>
  </si>
  <si>
    <t>Przychody ze sprzedaży 
 Q4 2014  / Sales revenue Q4 2014</t>
  </si>
  <si>
    <t>Przychody ze sprzedaży 
Q4 2013 / Sales revenue Q4 2013</t>
  </si>
  <si>
    <t>Aktywa ogółem na dzień 31 grudnia 2013  / Total assets as of 31.12.2013</t>
  </si>
  <si>
    <t>Przychody ze sprzedaży 
za Q3 2013 / Sales revenue Q3 2013</t>
  </si>
  <si>
    <t>EBITDA 
Q3 2013</t>
  </si>
  <si>
    <t>Przychody ze sprzedaży 
za Q3 2014 / Sales revenue Q3 2014</t>
  </si>
  <si>
    <t>EBITDA 
Q3 2014</t>
  </si>
  <si>
    <t>EBIT 
Q3 2014</t>
  </si>
  <si>
    <t>EBIT 
Q3 2013</t>
  </si>
  <si>
    <t>Aktywa ogółem na dzień 30 września 2014 / Total assets as of 30.09.2014</t>
  </si>
  <si>
    <t>Aktywa ogółem na dzień 30 września 2013 / Total assets as of 30.09.2013</t>
  </si>
  <si>
    <t>Przychody ze sprzedaży Q2 2014 / Sales revenue Q2 2013</t>
  </si>
  <si>
    <t>Przychody ze sprzedaży za H1 2013 / Sales revenue H1 2013</t>
  </si>
  <si>
    <t>Przychody ze sprzedaży za H1 2014 / Sales revenue H1 2014</t>
  </si>
  <si>
    <t>Aktywa ogółem na dzień 30 czerwca 2014  / Total assets as of 30.06.2014</t>
  </si>
  <si>
    <t>Aktywa ogółem na dzień 30 czerwca 2013  / Total assets as of 30.06.2013</t>
  </si>
  <si>
    <t xml:space="preserve">EBIT 
Q4 2013 </t>
  </si>
  <si>
    <t>Przychody ze sprzedaży 
Q3 2016  / Sales revenue Q3 2016</t>
  </si>
  <si>
    <t>Przychody ze sprzedaży 
Q4 2016 / Sales revenue Q4 2016</t>
  </si>
  <si>
    <t>Przychody ze sprzedaży 
2017 / Sales revenue 2017</t>
  </si>
  <si>
    <t>Nakłady inwestycyjne / CAPEX</t>
  </si>
  <si>
    <t>Rachunek zysków i strat / Profit and loss statement</t>
  </si>
  <si>
    <t xml:space="preserve">Nota / Note
</t>
  </si>
  <si>
    <t>Koszty sprzedaży / Selling and distribution expenses</t>
  </si>
  <si>
    <t>Koszty ogólnego zarządu / Administrative expenses</t>
  </si>
  <si>
    <t>Pozostałe przychody i koszty operacyjne / Other operating income and expenses</t>
  </si>
  <si>
    <t>Koszty odsetkowe od zadłużenia / Interest expense on debt</t>
  </si>
  <si>
    <t>Podatek dochodowy / Income tax expense</t>
  </si>
  <si>
    <t>Wycena instrumentów zabezpieczających / Measurement of hedging instruments</t>
  </si>
  <si>
    <t>Różnice kursowe z przeliczenia jednostki zagranicznej / Foreign exchange differences from translation of foreign entities</t>
  </si>
  <si>
    <t>Podatek dochodowy / Income tax</t>
  </si>
  <si>
    <t>Pozostałe całkowite dochody netto / Other comprehensive income, net of tax</t>
  </si>
  <si>
    <t>Łączne całkowite dochody / Total comprehensive income</t>
  </si>
  <si>
    <t>Akcjonariuszom jednostki dominującej / Attributable to equity holders of the Parent</t>
  </si>
  <si>
    <t>Udziałom niekontrolującym / Attributable to non-controlling interests</t>
  </si>
  <si>
    <t>Całkowity dochód przypadający: / Total comprehensive income:</t>
  </si>
  <si>
    <t>Nota / Note</t>
  </si>
  <si>
    <t>AKTYWA / ASSETS</t>
  </si>
  <si>
    <t>Aktywa trwałe / Non-current assets</t>
  </si>
  <si>
    <t>Rzeczowe aktywa trwałe / Property, plant and equipment</t>
  </si>
  <si>
    <t>Wartość firmy / Goodwill</t>
  </si>
  <si>
    <t>Pozostałe aktywa niematerialne / Other intangible assets</t>
  </si>
  <si>
    <t>Udziały i akcje we wspólnych przedsięwzięciach / Investments in joint ventures</t>
  </si>
  <si>
    <t>Pożyczki udzielone na rzecz wspólnych przedsięwzięć / Loans granted to joint ventures</t>
  </si>
  <si>
    <t>Pozostałe aktywa finansowe / Other financial assets</t>
  </si>
  <si>
    <t>Pozostałe aktywa niefinansowe / Other non-financial assets</t>
  </si>
  <si>
    <t>Aktywa z tytułu odroczonego podatku dochodowego / Deferred tax assets</t>
  </si>
  <si>
    <t>Aktywa obrotowe / Current assets</t>
  </si>
  <si>
    <t>Zapasy / Inventories</t>
  </si>
  <si>
    <t>Należności od odbiorców / Receivables from buyers</t>
  </si>
  <si>
    <t>Należności z tytułu podatków i opłat / Receivables arising from taxes and charges</t>
  </si>
  <si>
    <t>Środki pieniężne i ich ekwiwalenty / Cash and cash equivalents</t>
  </si>
  <si>
    <t>SUMA AKTYWÓW / TOTAL ASSETS</t>
  </si>
  <si>
    <t>PASYWA / EQUITY AND LIABILITIES</t>
  </si>
  <si>
    <t>Kapitał własny przypadający akcjonariuszom jednostki dominującej / Equity attributable to equity holders of the Parent</t>
  </si>
  <si>
    <t>Kapitał podstawowy / Issued capital</t>
  </si>
  <si>
    <t>Kapitał zapasowy / Reserve capital</t>
  </si>
  <si>
    <t>Kapitał z aktualizacji wyceny instrumentów zabezpieczających / Revaluation reserve from valuation of hedging instruments</t>
  </si>
  <si>
    <t>Zyski zatrzymane/(Niepokryte straty) / Retained earnings/(Accumulated losses)</t>
  </si>
  <si>
    <t>Udziały niekontrolujące / Non-controlling interests</t>
  </si>
  <si>
    <t>Kapitał własny ogółem / Total equity</t>
  </si>
  <si>
    <t>Zobowiązania długoterminowe / Non-current liabilities</t>
  </si>
  <si>
    <t>Zobowiązania z tytułu zadłużenia / Debt</t>
  </si>
  <si>
    <t>Rezerwy na świadczenia pracownicze / Provisions for employee benefits</t>
  </si>
  <si>
    <t>Rozliczenia międzyokresowe i dotacje rządowe / Accruals, deferred income and government grants</t>
  </si>
  <si>
    <t>Zobowiązania z tytułu odroczonego podatku dochodowego / Deferred tax liabilities</t>
  </si>
  <si>
    <t>Zobowiązania wobec dostawców / Liabilities to suppliers</t>
  </si>
  <si>
    <t>Pozostałe zobowiązania finansowe / Other financial liabilities</t>
  </si>
  <si>
    <t>Zobowiązania krótkoterminowe / Current liabilities</t>
  </si>
  <si>
    <t>Zobowiązania inwestycyjne / Capital commitments</t>
  </si>
  <si>
    <t>Pozostałe rezerwy / Other provisions</t>
  </si>
  <si>
    <t>Pozostałe zobowiązania niefinansowe / Other non-financial liabilities</t>
  </si>
  <si>
    <t>Zobowiązania razem / Total liabilities</t>
  </si>
  <si>
    <t>SUMA PASYWÓW / TOTAL EQUITY AND LIABILITIES</t>
  </si>
  <si>
    <t>Rachunek przepływów pieniężnych / Cash flow statement</t>
  </si>
  <si>
    <t>Przepływy środków pieniężnych z działalności operacyjnej / Cash flows from operating activities</t>
  </si>
  <si>
    <t>Udział w (zyskach)/stratach wspólnych przedsięwzięć / Share in (profit)/loss of joint ventures</t>
  </si>
  <si>
    <t>Amortyzacja / Depreciation and amortization</t>
  </si>
  <si>
    <t>Różnice kursowe / Exchange differences</t>
  </si>
  <si>
    <t>Odsetki i prowizje / Interest and commissions</t>
  </si>
  <si>
    <t>Pozostałe korekty zysku przed opodatkowaniem / Other adjustments of profit before tax</t>
  </si>
  <si>
    <t>Zmiana stanu kapitału obrotowego / Change in working capital</t>
  </si>
  <si>
    <t>Podatek dochodowy zapłacony / Income tax paid</t>
  </si>
  <si>
    <t>Środki pieniężne netto z działalności operacyjnej  / Net cash from operating activities</t>
  </si>
  <si>
    <t>Przepływy środków pieniężnych z działalności inwestycyjnej / Cash flows from investing activities</t>
  </si>
  <si>
    <t>Razem płatności / Total payments</t>
  </si>
  <si>
    <t>Razem wpływy / Total proceeds</t>
  </si>
  <si>
    <t>Środki pieniężne netto z działalności inwestycyjnej / Net cash used in investing activities</t>
  </si>
  <si>
    <t>Przepływy środków pieniężnych z działalności finansowej / Cash flows from financing activities</t>
  </si>
  <si>
    <t>Odsetki zapłacone / Interest paid</t>
  </si>
  <si>
    <t>Pozostałe płatności / Other payments</t>
  </si>
  <si>
    <t>Środki pieniężne netto z działalności finansowej / Net cash from financing activities</t>
  </si>
  <si>
    <t>Zwiększenie/(zmniejszenie) netto stanu środków pieniężnych i ich 
ekwiwalentów / Net increase / (decrease) in cash and cash equivalents</t>
  </si>
  <si>
    <t>Różnice kursowe netto / Net foreign exchange difference</t>
  </si>
  <si>
    <t>Środki pieniężne na początek okresu / Cash and cash equivalents at the beginning of the period</t>
  </si>
  <si>
    <r>
      <t xml:space="preserve">Środki pieniężne na koniec okresu, </t>
    </r>
    <r>
      <rPr>
        <b/>
        <i/>
        <sz val="10"/>
        <rFont val="Arial"/>
        <family val="2"/>
        <charset val="238"/>
      </rPr>
      <t>w tym: / Cash and cash equivalents at the end of the period, of which:</t>
    </r>
  </si>
  <si>
    <t>o ograniczonej możliwości dysponowania / restricted cash</t>
  </si>
  <si>
    <t xml:space="preserve">Q1 2018 </t>
  </si>
  <si>
    <t xml:space="preserve">Q1 2017 </t>
  </si>
  <si>
    <t xml:space="preserve">Q4 2017 </t>
  </si>
  <si>
    <t xml:space="preserve">Q4 2016 </t>
  </si>
  <si>
    <t xml:space="preserve">Q3 2017 </t>
  </si>
  <si>
    <t xml:space="preserve">Q3 2016 </t>
  </si>
  <si>
    <t xml:space="preserve">Q2 2017 </t>
  </si>
  <si>
    <t xml:space="preserve">Q2 2016 </t>
  </si>
  <si>
    <t xml:space="preserve">Q1 2016 </t>
  </si>
  <si>
    <t xml:space="preserve">H1 2014 </t>
  </si>
  <si>
    <t xml:space="preserve">H1 2013 </t>
  </si>
  <si>
    <t xml:space="preserve">Q4 2014 </t>
  </si>
  <si>
    <t xml:space="preserve">Q4 2013 </t>
  </si>
  <si>
    <t>Q3 2014</t>
  </si>
  <si>
    <t xml:space="preserve">Q3 2013 </t>
  </si>
  <si>
    <t xml:space="preserve">Q2 2014 </t>
  </si>
  <si>
    <t>Q2 2013</t>
  </si>
  <si>
    <t xml:space="preserve">Q1-Q3
2017 </t>
  </si>
  <si>
    <t xml:space="preserve">Q1-Q3
2016 </t>
  </si>
  <si>
    <t xml:space="preserve">H1 2017 </t>
  </si>
  <si>
    <t xml:space="preserve">H1 2016 </t>
  </si>
  <si>
    <t xml:space="preserve">Q1 2016  </t>
  </si>
  <si>
    <t xml:space="preserve">Q4 2015 </t>
  </si>
  <si>
    <t xml:space="preserve">Q1-Q3 2016 </t>
  </si>
  <si>
    <t xml:space="preserve">Q1-Q3 2015 </t>
  </si>
  <si>
    <t xml:space="preserve">Q3
2016 </t>
  </si>
  <si>
    <t xml:space="preserve">Q3
2015 </t>
  </si>
  <si>
    <t xml:space="preserve">H1
2016 </t>
  </si>
  <si>
    <t xml:space="preserve">H1
2015 </t>
  </si>
  <si>
    <t xml:space="preserve">Q2
2016 </t>
  </si>
  <si>
    <t xml:space="preserve">Q2
2015 </t>
  </si>
  <si>
    <t xml:space="preserve">Q1
2016 </t>
  </si>
  <si>
    <t xml:space="preserve">Q1
2015 </t>
  </si>
  <si>
    <t xml:space="preserve">Q1-Q3 2014 </t>
  </si>
  <si>
    <t xml:space="preserve">Q3 2015 </t>
  </si>
  <si>
    <t xml:space="preserve">Q3 2014 </t>
  </si>
  <si>
    <t xml:space="preserve">H1 2015 </t>
  </si>
  <si>
    <t xml:space="preserve">Q2 2015 </t>
  </si>
  <si>
    <t xml:space="preserve">Q1 2015 </t>
  </si>
  <si>
    <t xml:space="preserve">Q1 2014 </t>
  </si>
  <si>
    <t xml:space="preserve">Q1-Q3 2013 </t>
  </si>
  <si>
    <t xml:space="preserve">Q2 2013 </t>
  </si>
  <si>
    <t xml:space="preserve">Q1 2013 </t>
  </si>
  <si>
    <t>Key operating figures</t>
  </si>
  <si>
    <t>*dane produkcyjne za lata 2013, 2014 wykazywane są wg wartości netto (produkcja netto=produkcja brutto minus zużycie energii na potrzeby własne bloków, szacunkowy wskaźnik zużycia energii na potrzeby własne to ok. 9-10%). Od roku 2015 produkcja energii wykazywana jest wg wartości brutto / electricity production data for the years 2013 and 2014 are presented in net figures (net production=gross production less electricity used for generation unit's own needs, estimated ratio of unit's own needs: 9-10%)</t>
  </si>
  <si>
    <t xml:space="preserve">Q4
2016 </t>
  </si>
  <si>
    <t xml:space="preserve">Q4
2015 </t>
  </si>
  <si>
    <t>Q3 2015</t>
  </si>
  <si>
    <t xml:space="preserve">Q1-Q3 2017 </t>
  </si>
  <si>
    <t>Jednostki wytwórcze Grupy TAURON / TAURON Group's generation units</t>
  </si>
  <si>
    <t>GRUPA / Group - łączna moc (total capacity)</t>
  </si>
  <si>
    <t>EBITDA 
za Q4 2015 / EBITDA Q4 2015</t>
  </si>
  <si>
    <t>EBIT 
za Q4 2015 / EBIT Q4 2015</t>
  </si>
  <si>
    <t>EBITDA 
za Q4 2016 / EBITDA Q4 2016</t>
  </si>
  <si>
    <t>Przychody ze sprzedaży 
Q1-Q3 2016 / Sales revenue Q1-Q3 2016</t>
  </si>
  <si>
    <t xml:space="preserve">EBITDA 
Q1-Q3 2016 </t>
  </si>
  <si>
    <t xml:space="preserve">EBIT 
Q1-Q3 2016 </t>
  </si>
  <si>
    <t xml:space="preserve">EBIT 
Q1-Q3 2015 </t>
  </si>
  <si>
    <t xml:space="preserve">EBITDA 
Q1-Q3 2015 </t>
  </si>
  <si>
    <t>Przychody ze sprzedaży 
Q1-Q3 2015  / Sales revenue Q1-Q3 2015</t>
  </si>
  <si>
    <t>Przychody ze sprzedaży 
Q3 2016 / Sales revenue Q3 2016</t>
  </si>
  <si>
    <t>EBITDA 
Q3 2016 / EBITDA Q3 2016</t>
  </si>
  <si>
    <t>Przychody ze sprzedaży 
Q3 2015 / Sales revenue Q3 2015</t>
  </si>
  <si>
    <t>EBITDA 
Q3 2015 / EBITDA Q3 2015</t>
  </si>
  <si>
    <t>Przychody ze sprzedaży 
H1 2015 / Sales revenue H1 2015</t>
  </si>
  <si>
    <t>Przychody ze sprzedaży 
H1 2016  / Sales revenue H1 2016</t>
  </si>
  <si>
    <t>EBITDA 
Q2 2016 / EBITDA Q2 2016</t>
  </si>
  <si>
    <t>EBITDA 
Q2 2015 / EBITDA Q2 2015</t>
  </si>
  <si>
    <t>Przychody ze sprzedaży 
Q2 2015 / Sales revenue Q2 2015</t>
  </si>
  <si>
    <t>EBITDA 
Q1 2016 / EBITDA Q1 2016</t>
  </si>
  <si>
    <t>Przychody ze sprzedaży 
Q1 2015 / Sales revenue Q1 2015</t>
  </si>
  <si>
    <t>Przychody ze sprzedaży 
Q4 2015 / Sales revenue Q4 2015</t>
  </si>
  <si>
    <t>Przychody ze sprzedaży 
Q1-Q3 2015 / Sales revenue Q1-Q3 2015</t>
  </si>
  <si>
    <t>Przychody ze sprzedaży 
Q1-Q3 2014 / Sales revenue Q1-Q3 2014</t>
  </si>
  <si>
    <t>EBITDA 
Q1-Q3 2014 / EBITDA Q1-Q3 2014</t>
  </si>
  <si>
    <t>EBIT 
Q1-Q3 2014 / EBIT Q1-Q3 2014</t>
  </si>
  <si>
    <t>EBITDA 
Q1-Q3 2015 / EBITDA Q1-Q3 2015</t>
  </si>
  <si>
    <t>Przychody ze sprzedaży 
H1 2014 / Sales revenue H1 2014</t>
  </si>
  <si>
    <t>EBITDA 
Q1 2015 / EBITDA Q1 2015</t>
  </si>
  <si>
    <t>Przychody ze sprzedaży 
Q1 2014 / Sales revenue Q1 2014</t>
  </si>
  <si>
    <t>EBITDA 
Q1 2014 / EBITDA Q1 2014</t>
  </si>
  <si>
    <t>EBIT 
Q1 2014 / EBIT Q1 2014</t>
  </si>
  <si>
    <t>sprzedaż węgla energetycznego poza Grupę / external sale of hard coal (outside the Group)</t>
  </si>
  <si>
    <t>sprzedaż węgla energetycznego do Grupy / sale od hard coal to Group's power plants and CHPs</t>
  </si>
  <si>
    <t>Przychody ze sprzedaży 
Q1-Q3 2017 / Sales revenue Q1-Q3 2017</t>
  </si>
  <si>
    <t>Przychody ze sprzedaży 
Q1-Q3 2016  / Sales revenue Q1-Q3 2016</t>
  </si>
  <si>
    <t>EBITDA 
Q1-Q3 2016  / EBITDA Q1-Q3 2016</t>
  </si>
  <si>
    <t>EBITDA 
Q1-Q3 2017 / EBITDA Q1-Q3 2017</t>
  </si>
  <si>
    <t>EBIT 
Q1-Q3 2017 / EBIT Q1-Q3 2017</t>
  </si>
  <si>
    <t>EBIT 
Q1-Q3 2016 / EBIT Q1-Q3 2016</t>
  </si>
  <si>
    <t>EBIT 
Q1-Q3 2015 / EBIT Q1-Q3 2015</t>
  </si>
  <si>
    <t>Przychody ze sprzedaży 
Q1-Q3 2013 / Sales revenue Q1-Q3 2013</t>
  </si>
  <si>
    <t>tys. zł (PLN thousand)</t>
  </si>
  <si>
    <t>Dane w tys. zł (figures in PLN thousand)</t>
  </si>
  <si>
    <t>Łącznie / Total</t>
  </si>
  <si>
    <t>Podstawowe dane / Key figures</t>
  </si>
  <si>
    <t>Historyczne dane kwartalne / Historical quarterly figures</t>
  </si>
  <si>
    <t>Rachunek zysków i strat / Profit and loss account</t>
  </si>
  <si>
    <t>Koszt sprzedanych towarów, produktów, materiałów i usług / Cost of products, goods, materials and services sold</t>
  </si>
  <si>
    <t>Koszty sprzedaży / Cost of sales</t>
  </si>
  <si>
    <t>Zysk (strata) operacyjna / Operating profit (loss)</t>
  </si>
  <si>
    <t>Zysk (strata) przypadająca: / Profit (loss):</t>
  </si>
  <si>
    <t>Akcjonariuszom jednostki dominującej / attributable to equity holders of the parent</t>
  </si>
  <si>
    <t>Udziałom niekontrolującym / attributable to non-controlling interests</t>
  </si>
  <si>
    <t>Bilans / Balance sheet</t>
  </si>
  <si>
    <t>Aktywa z tytułu podatku odroczonego / Deferred tax assets</t>
  </si>
  <si>
    <t>Należności z tytułu podatku dochodowego / Corporate income tax receivables</t>
  </si>
  <si>
    <t>Kapitał własny przypadający akcjonariuszom jednostki dominującej / Equity attributable to equity holders of the parent</t>
  </si>
  <si>
    <t>Instrumenty pochodne / Derivative instruments</t>
  </si>
  <si>
    <t>Zobowiązanie z tytułu odroczonego podatku dochodowego / Deferred tax liability</t>
  </si>
  <si>
    <t>Zobowiązania z tytułu podatku dochodowego / Corporate income tax payable</t>
  </si>
  <si>
    <t>Udział w zyskach/(stratach) wspólnych przedsięwzięć / Share in profit/(loss) of joint ventures</t>
  </si>
  <si>
    <t>Środki pieniężne netto z działalności operacyjnej / Net cash from operating activities</t>
  </si>
  <si>
    <t>Sprzedaż rzeczowych aktywów trwałych i aktywów niematerialnych / Proceeds from sale of property, plant and equipment and intangible assets</t>
  </si>
  <si>
    <t>Środki pieniężne netto z działalności finansowej / Net cash from (used in) financing activities</t>
  </si>
  <si>
    <t>Zwiększenie/(zmniejszenie) netto stanu środków pieniężnych i ich ekwiwalentów / Net increase/(decrease) in cash and cash equivalents</t>
  </si>
  <si>
    <t>Środki pieniężne na koniec okresu, w tym: / Cash and cash equivalents at the end of the period, of which:</t>
  </si>
  <si>
    <t>Zysk (strata) przed opodatkowaniem / Profit/(loss) before taxation</t>
  </si>
  <si>
    <t xml:space="preserve">     Nabycie rzeczowych aktywów trwałych i aktywów niematerialnych / Purchase of property, plant and equipment and intangible assets</t>
  </si>
  <si>
    <t xml:space="preserve">     Nabycie aktywów finansowych / Purchase of financial assets</t>
  </si>
  <si>
    <t xml:space="preserve">     Udzielenie pożyczek / Loans granted</t>
  </si>
  <si>
    <t xml:space="preserve">     Pozostałe płatności / Other payments</t>
  </si>
  <si>
    <t xml:space="preserve">     Wykup dłużnych papierów wartościowych / Redemption of debt securities</t>
  </si>
  <si>
    <t xml:space="preserve">     Dywidendy otrzymane / Dividends received</t>
  </si>
  <si>
    <t xml:space="preserve">     Pozostałe wpływy / Other proceeds</t>
  </si>
  <si>
    <t>Środki pieniężne netto z działalności inwestycyjnej / Cash flows from investing activities</t>
  </si>
  <si>
    <t xml:space="preserve">     Spłata pożyczek/kredytów / Repayment of loans</t>
  </si>
  <si>
    <t xml:space="preserve">     Odsetki zapłacone / Interest paid</t>
  </si>
  <si>
    <t xml:space="preserve">     Wpływy z tytułu zaciągnięcia kredytów/pożyczek / Proceeds from contracted loans/borrowings</t>
  </si>
  <si>
    <t xml:space="preserve">     Otrzymane dotacje / Subsidies and amends received</t>
  </si>
  <si>
    <t xml:space="preserve">     Różnice kursowe netto / Net foreign exchange differences</t>
  </si>
  <si>
    <t xml:space="preserve">     o ograniczonej możliwości dysponowania / restricted cash</t>
  </si>
  <si>
    <t>Historyczne dane półroczne / Historical semiannual figures</t>
  </si>
  <si>
    <t xml:space="preserve">     Sprzedaż rzeczowych aktywów trwałych i aktywów niematerialnych / Proceeds from sale of property, plant and equipment and intangible assets</t>
  </si>
  <si>
    <t>Historyczne dane roczne / Historical annual figures</t>
  </si>
  <si>
    <t>Akcjonariuszom jednostki dominującej / Attributable to equity holders of the parent</t>
  </si>
  <si>
    <t>Zyski zatrzymane/Niepokryte straty / Retained earnings (Accumulated losses)</t>
  </si>
  <si>
    <t>Zysk (strata) przed opodatkowaniem / Profit (loss) before taxation</t>
  </si>
  <si>
    <t xml:space="preserve">   Amortyzacja / Depreciation and amortization</t>
  </si>
  <si>
    <t xml:space="preserve">   Odsetki i prowizje / Interest and commissions</t>
  </si>
  <si>
    <t xml:space="preserve">   Pozostałe korekty zysku przed opodatkowaniem / Other adjustments of profit before tax</t>
  </si>
  <si>
    <t xml:space="preserve">   Nabycie rzeczowych aktywów trwałych i aktywów niematerialnych / Purchase of property, plant and equipment and intangible assets</t>
  </si>
  <si>
    <t xml:space="preserve">   Nabycie aktywów finansowych / Purchase of financial assets</t>
  </si>
  <si>
    <t xml:space="preserve">   Udzielenie pożyczek / Loans granted</t>
  </si>
  <si>
    <t xml:space="preserve">   Pozostałe płatności / Other payments</t>
  </si>
  <si>
    <t xml:space="preserve">   Sprzedaż rzeczowych aktywów trwałych i aktywów niematerialnych / Proceeds from sale of property, plant and equipment and intangible assets</t>
  </si>
  <si>
    <t xml:space="preserve">   Dywidendy otrzymane / Dividends received</t>
  </si>
  <si>
    <t xml:space="preserve">   Pozostałe wpływy / Other proceeds</t>
  </si>
  <si>
    <t xml:space="preserve">  Wykup dłużnych papierów wartościowych / Redemption of debt securities</t>
  </si>
  <si>
    <t xml:space="preserve">   Spłata pożyczek/kredytów / Repayment of loans and borrowings</t>
  </si>
  <si>
    <t xml:space="preserve">   Odsetki zapłacone / Interest paid</t>
  </si>
  <si>
    <t xml:space="preserve">   Emisja dłużnych papierów wartościowych / Issue of debt securities</t>
  </si>
  <si>
    <t xml:space="preserve">   Wpływy z tytułu zaciągnięcia kredytów/pożyczek / Proceeds from contracted loans/borrowings</t>
  </si>
  <si>
    <t xml:space="preserve">   Otrzymane dotacje / Subsidies and amends received</t>
  </si>
  <si>
    <t xml:space="preserve">   Różnice kursowe netto / Net foreign exchange difference</t>
  </si>
  <si>
    <t>Środki pieniężne na początek okresu / Cash and cash equivalents at the begining of the period</t>
  </si>
  <si>
    <t xml:space="preserve">   o ograniczonej możliwości dysponowania / restricted cash</t>
  </si>
  <si>
    <t xml:space="preserve">H1 2018 </t>
  </si>
  <si>
    <t xml:space="preserve">Q2 2018 </t>
  </si>
  <si>
    <t xml:space="preserve"> Q1 2018</t>
  </si>
  <si>
    <t>Q4 2017</t>
  </si>
  <si>
    <t>Q3 2017</t>
  </si>
  <si>
    <t>Q2 2017</t>
  </si>
  <si>
    <t xml:space="preserve"> Q1 2017</t>
  </si>
  <si>
    <t>Q4 2016</t>
  </si>
  <si>
    <t>Q3 2016</t>
  </si>
  <si>
    <t>Q2 2016</t>
  </si>
  <si>
    <t xml:space="preserve"> Q1 2016</t>
  </si>
  <si>
    <t>Q4 2015</t>
  </si>
  <si>
    <t>Q2 2015</t>
  </si>
  <si>
    <t xml:space="preserve"> Q1 2015</t>
  </si>
  <si>
    <t>Q4 2014</t>
  </si>
  <si>
    <t>Q2 2014</t>
  </si>
  <si>
    <t xml:space="preserve"> Q1 2014</t>
  </si>
  <si>
    <t>Q4 2013</t>
  </si>
  <si>
    <t>Q3 2013</t>
  </si>
  <si>
    <t xml:space="preserve"> Q1 2013</t>
  </si>
  <si>
    <t xml:space="preserve"> Q2 2018</t>
  </si>
  <si>
    <t>Przychody ze sprzedaży 
Q2 2018 / Sales revenue Q2 2018</t>
  </si>
  <si>
    <t>EBITDA 
Q2 2018</t>
  </si>
  <si>
    <t xml:space="preserve">EBIT 
Q2 2018 </t>
  </si>
  <si>
    <t>Aktywa ogółem na dzień 
30 czerwca 2018 / Total assets as of 30.06.2018</t>
  </si>
  <si>
    <t>Przychody ze sprzedaży 
Q1 2015 / Sales revenue 
Q1 2015</t>
  </si>
  <si>
    <t>EBIT 
Q1 2015 / EBIT 
Q1 2015</t>
  </si>
  <si>
    <t>EBITDA 
Q2 2015 / EBITDA 
Q2 2015</t>
  </si>
  <si>
    <t>EBIT 
Q2 2015 / EBIT 
Q2 2015</t>
  </si>
  <si>
    <t>EBIT 
Q2 2014 / EBIT 
Q2 2014</t>
  </si>
  <si>
    <t>EBITDA 
Q2 2014 / EBITDA 
Q2 2014</t>
  </si>
  <si>
    <t>Przychody ze sprzedaży 
Q2 2015 / Sales revenue 
Q2 2015</t>
  </si>
  <si>
    <t>Przychody ze sprzedaży 
Q2 2014 / Sales revenue 
Q2 2014</t>
  </si>
  <si>
    <t>EBIT 
H1 2015 / EBIT 
H1 2015</t>
  </si>
  <si>
    <t>EBIT 
H1 2014 / EBIT 
H1 2014</t>
  </si>
  <si>
    <t>EBITDA 
H1 2015 / EBITDA 
H1 2015</t>
  </si>
  <si>
    <t>EBITDA 
H1 2014 / EBITDA 
H1 2014</t>
  </si>
  <si>
    <t>EBIT 
Q3 2015 / EBIT 
Q3 2015</t>
  </si>
  <si>
    <t>EBIT 
Q3 2014 / EBIT 
Q3 2014</t>
  </si>
  <si>
    <t>EBITDA 
Q3 2015 / EBITDA 
Q3 2015</t>
  </si>
  <si>
    <t>EBITDA 
Q3 2014 / EBITDA 
Q3 2014</t>
  </si>
  <si>
    <t>Przychody ze sprzedaży 
Q3 2015 / Sales revenue 
Q3 2015</t>
  </si>
  <si>
    <t>Przychody ze sprzedaży 
Q3 2014 / Sales revenue 
Q3 2014</t>
  </si>
  <si>
    <t>EBIT 
Q4 2015 / EBIT 
Q4 2015</t>
  </si>
  <si>
    <t>EBIT 
Q4 2014 / EBIT 
Q4 2014</t>
  </si>
  <si>
    <t>EBITDA 
Q4 2015 / EBITDA 
Q4 2015</t>
  </si>
  <si>
    <t>EBITDA 
Q4 2014 / EBITDA 
Q4 2014</t>
  </si>
  <si>
    <t>Przychody ze sprzedaży 
Q4 2015 / Sales revenue 
Q4 2015</t>
  </si>
  <si>
    <t>Przychody ze sprzedaży 
Q4 2014 / Sales revenue 
Q4 2014</t>
  </si>
  <si>
    <t>EBIT 
Q1 2016 / EBIT 
Q1 2016</t>
  </si>
  <si>
    <t>EBIT 
Q2 2016 / EBIT 
Q2 2016</t>
  </si>
  <si>
    <t>EBIT 
H1 2016 / EBIT 
H1 2016</t>
  </si>
  <si>
    <t>EBITDA 
H1 2016 / EBITDA 
H1 2016</t>
  </si>
  <si>
    <t>EBIT 
Q3 2016 / EBIT 
Q3 2016</t>
  </si>
  <si>
    <t>EBIT 
Q4 2016 / EBIT 
Q4 2016</t>
  </si>
  <si>
    <t>Przychody ze sprzedaży 
Q4 2016 / Sales revenue 
Q4 2016</t>
  </si>
  <si>
    <t>Przychody ze sprzedaży 
H1 2018 / Sales revenue H1 2018</t>
  </si>
  <si>
    <t>EBITDA 
H1 2018</t>
  </si>
  <si>
    <t xml:space="preserve">EBIT 
H1 2018 </t>
  </si>
  <si>
    <t>EBITDA 
Q2 2017</t>
  </si>
  <si>
    <t>EBITDA 
H1 2017</t>
  </si>
  <si>
    <t>Q3 
2015</t>
  </si>
  <si>
    <t xml:space="preserve">Q1-Q3 2018 </t>
  </si>
  <si>
    <t xml:space="preserve">Q3 2018 </t>
  </si>
  <si>
    <t>Q3 2018</t>
  </si>
  <si>
    <t>Przychody ze sprzedaży 
Q1-Q3 2018 / Sales revenue Q1-Q3 2018</t>
  </si>
  <si>
    <t>EBITDA 
Q1-Q3 2018</t>
  </si>
  <si>
    <t xml:space="preserve">EBIT 
Q1-Q3 2018 </t>
  </si>
  <si>
    <t>Aktywa ogółem na dzień 
30 września 2018 / Total assets as of 30.09.2018</t>
  </si>
  <si>
    <t>Przychody ze sprzedaży 
Q3 2018 / Sales revenue Q3 2018</t>
  </si>
  <si>
    <t>EBITDA 
Q3 2018</t>
  </si>
  <si>
    <t xml:space="preserve">EBIT 
Q3 2018 </t>
  </si>
  <si>
    <t>EBITDA 
Q1-Q3 2017</t>
  </si>
  <si>
    <t xml:space="preserve">EBIT 
Q1-Q3 2017 </t>
  </si>
  <si>
    <t>EBITDA 
Q3 2017</t>
  </si>
  <si>
    <t>Należności z tytułu podatku dochodowego / Income tax receivables</t>
  </si>
  <si>
    <t>Należności z tytułu pozostałych podatków i opłat/ Receivables arising from other taxes and charges</t>
  </si>
  <si>
    <t>Zobowiązania z tytułu podatku dochodowego / Income tax liabilities</t>
  </si>
  <si>
    <t>Zobowiązania z tytułu pozostałych podatków i opłat / Liabilities arising from other taxes and charges</t>
  </si>
  <si>
    <t>Q4 2018</t>
  </si>
  <si>
    <t>Przychody ze sprzedaży 
2018 / Sales revenue 2018</t>
  </si>
  <si>
    <t>EBITDA 
2018</t>
  </si>
  <si>
    <t xml:space="preserve">EBIT 
2018 </t>
  </si>
  <si>
    <t>Aktywa ogółem na dzień 
31 grudnia 2018 / Total assets as of 31.12.2018</t>
  </si>
  <si>
    <t>EBITDA 
2017</t>
  </si>
  <si>
    <t xml:space="preserve">EBIT 
2017 </t>
  </si>
  <si>
    <t>Przychody ze sprzedaży 
Q4 2018 / Sales revenue Q4 2018</t>
  </si>
  <si>
    <t>EBITDA 
Q4 2018</t>
  </si>
  <si>
    <t xml:space="preserve">EBIT 
Q4 2018 </t>
  </si>
  <si>
    <t>EBITDA 
Q4 2017</t>
  </si>
  <si>
    <t>Prawa do użytkowania aktywów / Right-of-use asset</t>
  </si>
  <si>
    <t>Q1 2019</t>
  </si>
  <si>
    <t xml:space="preserve"> Q1 2019</t>
  </si>
  <si>
    <t>Przychody ze sprzedaży 
Q1 2019 / Sales revenue Q1 2019</t>
  </si>
  <si>
    <t>EBITDA 
Q1 2019</t>
  </si>
  <si>
    <t xml:space="preserve">EBIT 
Q1 2019 </t>
  </si>
  <si>
    <t>Aktywa ogółem na dzień 
31 marca 2019 / Total assets as of 31.03.2019</t>
  </si>
  <si>
    <t xml:space="preserve">Q1 2019 </t>
  </si>
  <si>
    <t>Prawa do użytkowania aktywów / Right-of-use assets</t>
  </si>
  <si>
    <t>Przychody finansowe i pozostałe koszty finansowe / Finance income and other finance costs</t>
  </si>
  <si>
    <t>Q2 2019</t>
  </si>
  <si>
    <t>H1 2019</t>
  </si>
  <si>
    <t>Aktywa ogółem na dzień 
30 czerwca 2019 / Total assets as of 30.06.2019</t>
  </si>
  <si>
    <t>Przychody ze sprzedaży 
Q2 2019 / Sales revenue Q2 2019</t>
  </si>
  <si>
    <t>EBITDA 
Q2 2019</t>
  </si>
  <si>
    <t xml:space="preserve">EBIT 
Q2 2019 </t>
  </si>
  <si>
    <t>Przychody ze sprzedaży 
Q2 2018 / Sales revenue Q1 2018</t>
  </si>
  <si>
    <t>Przychody ze sprzedaży 
H1 2019 / Sales revenue H1 2019</t>
  </si>
  <si>
    <t>EBITDA 
H1 2019</t>
  </si>
  <si>
    <t xml:space="preserve">EBIT 
H1 2019 </t>
  </si>
  <si>
    <t xml:space="preserve">Q2 2019 </t>
  </si>
  <si>
    <t xml:space="preserve">H12019 </t>
  </si>
  <si>
    <t xml:space="preserve">H12018 </t>
  </si>
  <si>
    <t>Q1-Q3 2019</t>
  </si>
  <si>
    <t>Q3 2019</t>
  </si>
  <si>
    <t>Przychody ze sprzedaży 
Q1-Q3 2019 / Sales revenue Q1-Q3 2019</t>
  </si>
  <si>
    <t>EBITDA 
Q1-Q3 2019</t>
  </si>
  <si>
    <t xml:space="preserve">EBIT 
Q1-Q3 2019 </t>
  </si>
  <si>
    <t>Aktywa ogółem na dzień 
30 września 2019 / Total assets as of 30.09.2019</t>
  </si>
  <si>
    <t>Przychody ze sprzedaży 
Q3 2019 / Sales revenue Q3 2019</t>
  </si>
  <si>
    <t>EBITDA 
Q3 2019</t>
  </si>
  <si>
    <t xml:space="preserve">EBIT 
Q3 2019 </t>
  </si>
  <si>
    <t xml:space="preserve">Q1-Q3 2019 </t>
  </si>
  <si>
    <t xml:space="preserve">Q3 2019 </t>
  </si>
  <si>
    <t>Pozostałe aktywa finansowe /Other financial assets</t>
  </si>
  <si>
    <t>Spłata zobowiązań leasingowych / Repayment of lease libilities</t>
  </si>
  <si>
    <t xml:space="preserve">   Rekompensaty / Recompensation revenue</t>
  </si>
  <si>
    <t xml:space="preserve">   Przychody ze sprzedaży / Sales revenue</t>
  </si>
  <si>
    <t>Q4 2019</t>
  </si>
  <si>
    <t xml:space="preserve">Q4 2018 </t>
  </si>
  <si>
    <t>Przychody ze sprzedaży 
2019 / Sales revenue 2019</t>
  </si>
  <si>
    <t>EBITDA 
2019</t>
  </si>
  <si>
    <t xml:space="preserve">EBIT 
2019 </t>
  </si>
  <si>
    <t>Aktywa ogółem na dzień 
31 grudnia 2019 / Total assets as of 31.12.2019</t>
  </si>
  <si>
    <t>Przychody ze sprzedaży 
Q4 2019 / Sales revenue Q4 2019</t>
  </si>
  <si>
    <t>EBITDA 
Q4 2019</t>
  </si>
  <si>
    <t xml:space="preserve">EBIT 
Q4 2019 </t>
  </si>
  <si>
    <t xml:space="preserve">Q4 2019 </t>
  </si>
  <si>
    <t>Q1 2020</t>
  </si>
  <si>
    <t xml:space="preserve"> Q1 2020</t>
  </si>
  <si>
    <t>Przychody ze sprzedaży 
Q1 2020 / Sales revenue Q1 2020</t>
  </si>
  <si>
    <t>EBITDA 
Q1 2020</t>
  </si>
  <si>
    <t xml:space="preserve">EBIT 
Q1 2020 </t>
  </si>
  <si>
    <t>Aktywa ogółem na dzień 
31 marca 2020 / Total assets as of 31.03.2020</t>
  </si>
  <si>
    <t>Segment OZE / RES Segment</t>
  </si>
  <si>
    <t>Segment Wytwarzanie / Generation Segment</t>
  </si>
  <si>
    <t xml:space="preserve"> Q2 2020</t>
  </si>
  <si>
    <t>Q2 2020</t>
  </si>
  <si>
    <t>H1 2020</t>
  </si>
  <si>
    <t xml:space="preserve">H1 2019 </t>
  </si>
  <si>
    <t>Przychody ze sprzedaży 
H1 2020 / Sales revenue H1 2020</t>
  </si>
  <si>
    <t>EBITDA 
H1 2020</t>
  </si>
  <si>
    <t xml:space="preserve">EBIT 
H1 2020 </t>
  </si>
  <si>
    <t>Przychody ze sprzedaży 
Q2 2020 / Sales revenue Q2 2020</t>
  </si>
  <si>
    <t>EBITDA 
Q2 2020</t>
  </si>
  <si>
    <t xml:space="preserve">EBIT 
Q2 2020 </t>
  </si>
  <si>
    <t>Aktywa ogółem na dzień 
30 czerwca 2020 / Total assets as of 31.03.2020</t>
  </si>
  <si>
    <t>Aktywa ogółem na dzień 
30 czerwca 2019 / Total assets as of 31.03.2019</t>
  </si>
  <si>
    <t>Q1-Q3 2020</t>
  </si>
  <si>
    <t>Q3 2020</t>
  </si>
  <si>
    <t>Przychody ze sprzedaży 
Q3 2020 / Sales revenue Q3 2020</t>
  </si>
  <si>
    <t>EBITDA 
Q3 2020</t>
  </si>
  <si>
    <t xml:space="preserve">EBIT 
Q3 2020 </t>
  </si>
  <si>
    <t>Aktywa ogółem na dzień 
30 września 2020 / Total assets as of 30.09.2020</t>
  </si>
  <si>
    <t>Przychody ze sprzedaży 
Q1-Q3 2020 / Sales revenue Q1-Q3 2020</t>
  </si>
  <si>
    <t>EBITDA 
Q1-Q3 2020</t>
  </si>
  <si>
    <t xml:space="preserve">EBIT 
Q1-Q3 2020 </t>
  </si>
  <si>
    <t>Aktywa zaklasyfikowane jako przeznaczone do sprzedaży / Assets classified as held for sale</t>
  </si>
  <si>
    <r>
      <t>Świadectwa pochodzenia energii i prawa do emisji CO2 do umorzenia / Energy certificates and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emission allowances for surrender</t>
    </r>
  </si>
  <si>
    <r>
      <t>Świadectwa pochodzenia energii i prawa do emisji CO2 do umorzenia/ Energy certificates and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emission allowances for surrender</t>
    </r>
  </si>
  <si>
    <t>FY 2020</t>
  </si>
  <si>
    <t>FY 2019</t>
  </si>
  <si>
    <t>Q4 2020</t>
  </si>
  <si>
    <t>Przychody ze sprzedaży 
Q4 2020 / Sales revenue Q4 2020</t>
  </si>
  <si>
    <t>EBITDA 
Q4 2020</t>
  </si>
  <si>
    <t xml:space="preserve">EBIT 
Q4 2020 </t>
  </si>
  <si>
    <t>Przychody ze sprzedaży 
Q1-Q4 2020 / Sales revenue Q1-Q4 2020</t>
  </si>
  <si>
    <t>EBITDA 
Q1-Q4 2020</t>
  </si>
  <si>
    <t xml:space="preserve">EBIT 
Q1-Q4 2020 </t>
  </si>
  <si>
    <t>Przychody ze sprzedaży 
Q1-Q4 2019 / Sales revenue Q1-Q4 2019</t>
  </si>
  <si>
    <t>EBITDA 
Q1-Q4 2019</t>
  </si>
  <si>
    <t xml:space="preserve">EBIT 
Q1-Q4 2019 </t>
  </si>
  <si>
    <t>Aktywa ogółem na dzień 
31 grudnia 2020 / Total assets as of 31.12.2020</t>
  </si>
  <si>
    <t>Q1-Q4 2020</t>
  </si>
  <si>
    <t xml:space="preserve">Q1-Q4 2019 </t>
  </si>
  <si>
    <t>I kwartał 2021 r. /
Q1 2021</t>
  </si>
  <si>
    <r>
      <t xml:space="preserve">31 grudnia 2020 </t>
    </r>
    <r>
      <rPr>
        <i/>
        <sz val="10"/>
        <rFont val="Arial"/>
        <family val="2"/>
        <charset val="238"/>
      </rPr>
      <t>(dane przekształcone)</t>
    </r>
    <r>
      <rPr>
        <sz val="10"/>
        <rFont val="Arial"/>
        <family val="2"/>
        <charset val="238"/>
      </rPr>
      <t xml:space="preserve"> / 
31 December 2020 </t>
    </r>
    <r>
      <rPr>
        <i/>
        <sz val="10"/>
        <rFont val="Arial"/>
        <family val="2"/>
        <charset val="238"/>
      </rPr>
      <t>(restated figures)</t>
    </r>
  </si>
  <si>
    <t>Pozostałe całkowite dochody nie podlegające przeklasyfikowaniu w wynik finansowy / Other comprehensive income not to be reclassified in the financial result</t>
  </si>
  <si>
    <t>Q1 2021</t>
  </si>
  <si>
    <t>Q4 2021</t>
  </si>
  <si>
    <t>Q3 2021</t>
  </si>
  <si>
    <t xml:space="preserve"> Q2 2021</t>
  </si>
  <si>
    <t xml:space="preserve"> Q1 2021</t>
  </si>
  <si>
    <t>Przychody ze sprzedaży 
Q1 2021 / Sales revenue Q1 2021</t>
  </si>
  <si>
    <t>EBITDA 
Q1 2021</t>
  </si>
  <si>
    <t xml:space="preserve">EBIT 
Q1 2021 </t>
  </si>
  <si>
    <t>Aktywa ogółem na dzień 
31 marca 2021 / Total assets as of 31.03.2021</t>
  </si>
  <si>
    <t>I półrocze 2021 /
H1 2021</t>
  </si>
  <si>
    <t>II kwartał 2021 r. /
Q2 2021</t>
  </si>
  <si>
    <t>H1 2021</t>
  </si>
  <si>
    <t>Q2 2021</t>
  </si>
  <si>
    <t>Przychody ze sprzedaży 
H1 2021 / Sales revenue H1 2021</t>
  </si>
  <si>
    <t>EBITDA 
H1 2021</t>
  </si>
  <si>
    <t xml:space="preserve">EBIT 
H1 2021 </t>
  </si>
  <si>
    <t>Przychody ze sprzedaży 
Q2 2021 / Sales revenue Q1 2021</t>
  </si>
  <si>
    <t>EBITDA 
Q2 2021</t>
  </si>
  <si>
    <t xml:space="preserve">EBIT 
Q2 2021 </t>
  </si>
  <si>
    <t>Aktywa ogółem na dzień 
30 czerwca 2021 / Total assets as of 30.06.2021</t>
  </si>
  <si>
    <t>Przychody ze sprzedaży 
Q2 2020 / Sales revenue Q1 2020</t>
  </si>
  <si>
    <t>Aktywa ogółem na dzień 
30 czerwca 2020 / Total assets as of 30.06.2020</t>
  </si>
  <si>
    <t>Spłata kredytów/pożyczek / Repayment of loans and borrowings</t>
  </si>
  <si>
    <t>III kwartał 2021 r. /
Q3 2021</t>
  </si>
  <si>
    <t>Q1-Q3 2021</t>
  </si>
  <si>
    <t>Przychody ze sprzedaży 
Q3 2021 / Sales revenue Q3 2021</t>
  </si>
  <si>
    <t>EBITDA 
Q3 2021</t>
  </si>
  <si>
    <t xml:space="preserve">EBIT 
Q3 2021 </t>
  </si>
  <si>
    <t>Aktywa ogółem na dzień 
30 września 2021 / Total assets as of 30.09.2021</t>
  </si>
  <si>
    <t>Przychody ze sprzedaży 
Q1-Q3 2021 / Sales revenue Q1-Q3 2021</t>
  </si>
  <si>
    <t>EBITDA 
Q1-Q3 2021</t>
  </si>
  <si>
    <t xml:space="preserve">EBIT 
Q1-Q3 2021 </t>
  </si>
  <si>
    <t>Dane w mln PLN / Figures in PLN million</t>
  </si>
  <si>
    <t>Aktualizacja wartości udzielonych pożyczek / Impairment losses on loans granted</t>
  </si>
  <si>
    <r>
      <t xml:space="preserve">Rok zakończony 31 grudnia 2020 r. </t>
    </r>
    <r>
      <rPr>
        <i/>
        <sz val="10"/>
        <rFont val="Arial"/>
        <family val="2"/>
        <charset val="238"/>
      </rPr>
      <t>(dane przekształcone)</t>
    </r>
    <r>
      <rPr>
        <sz val="10"/>
        <rFont val="Arial"/>
        <family val="2"/>
        <charset val="238"/>
      </rPr>
      <t xml:space="preserve">/ 
Year ended 31 December 2020 </t>
    </r>
    <r>
      <rPr>
        <i/>
        <sz val="10"/>
        <rFont val="Arial"/>
        <family val="2"/>
        <charset val="238"/>
      </rPr>
      <t>(reststed figures)</t>
    </r>
  </si>
  <si>
    <t>Dane w mln PLN / in PLN million</t>
  </si>
  <si>
    <t>31 grudnia 2021 / 
31 December 2021</t>
  </si>
  <si>
    <t>31 grudnia 2021
/ As at 31 December 2021</t>
  </si>
  <si>
    <t>FY 2021</t>
  </si>
  <si>
    <t>Przychody ze sprzedaży 
FY 2021 / Sales revenue FY 2021</t>
  </si>
  <si>
    <t>EBITDA 
FY 2021</t>
  </si>
  <si>
    <t>Przychody ze sprzedaży 
Q4 2021 / Sales revenue Q4 2021</t>
  </si>
  <si>
    <t>EBITDA 
Q4 2021</t>
  </si>
  <si>
    <t xml:space="preserve">EBIT 
Q4 2021 </t>
  </si>
  <si>
    <t xml:space="preserve">EBIT 
FY 2021 </t>
  </si>
  <si>
    <t>Przychody ze sprzedaży 
FY 2020 / Sales revenue FY 2020</t>
  </si>
  <si>
    <t>EBITDA 
FY 2020</t>
  </si>
  <si>
    <t xml:space="preserve">EBIT 
FY 2020 </t>
  </si>
  <si>
    <t>Aktywa ogółem na dzień 
31 grudnia 2021 / Total assets as of 31.12.2021</t>
  </si>
  <si>
    <t>Dane w mln PLN/ in PLN million</t>
  </si>
  <si>
    <t>Zysk (strata) brutto ze sprzedaży / Profit (loss) on sale</t>
  </si>
  <si>
    <t>Zysk (strata) przed opowdatkowaniem / Profit (loss) before tax</t>
  </si>
  <si>
    <t xml:space="preserve">Zysk (strata) netto  / Net profit (loss) </t>
  </si>
  <si>
    <t>Pozostałe całkowite dochody podlegające przeklasyfikowaniu w wynik finansowy / Other comprehensive income to be reclassified in the financial result</t>
  </si>
  <si>
    <t>Zyski/(straty) aktuarialne / Actuarial gains (losses)</t>
  </si>
  <si>
    <t xml:space="preserve">Łączne całkowite dochody / Total comprehensive income </t>
  </si>
  <si>
    <t>Zysk (strata) netto przypadający: / Net profit (loss):</t>
  </si>
  <si>
    <t>Zysk (strata) na jedną akcję podstawowy i rozwodniony (w złotych) / Basic and diluted earnings per share (in PLN)</t>
  </si>
  <si>
    <t>Instrumenty pochodne /Derivative instruments</t>
  </si>
  <si>
    <t>Zobowiązania z tytułu zadłużenia/ Debt</t>
  </si>
  <si>
    <t>Rezerwy na koszty demontażu środków trwałych i rekultywację terenu oraz pozostałe / Provisions for disassembly of fixed assets, land restoration and other provisions</t>
  </si>
  <si>
    <t>Zobowiązania z tytułu nabycia udziałów niekontrolujących / Liabilities due to the acquisition of non-controlling interests</t>
  </si>
  <si>
    <t>Rezerwy na zobowiązania z tytułu świadectw pochodzenia energii i emisji CO2 / Provisions for liabilities due to energy certificates and CO2 emission allowances</t>
  </si>
  <si>
    <t>Zobowiązanie z tytułu pozostałych podatków i opłat / Liabilities arising from other taxes and charges</t>
  </si>
  <si>
    <t>Zobowiązania związane z aktywami zaklasyfikowanymi jako przeznaczone do sprzedaży/ Liabilities directly related to assets classified as held for sale</t>
  </si>
  <si>
    <t xml:space="preserve">   Udział w (zyskach)/stratach wspólnych przedsięwzięć / Share in (profit)/loss of joint ventures</t>
  </si>
  <si>
    <t xml:space="preserve">   Odpisy aktualizujące wartość niefinansowych aktywów trwałych / Impairment losses on non-financial non-current assets</t>
  </si>
  <si>
    <t xml:space="preserve">   Spłata zobowiązań leasingowych / Repayment of lease liabilities</t>
  </si>
  <si>
    <t xml:space="preserve">     Spłata zobowiązań leasingowych / Repayment of lease liabilities</t>
  </si>
  <si>
    <t>31 marca 2022
/ As at 31 March 2022</t>
  </si>
  <si>
    <t>Q1 2022</t>
  </si>
  <si>
    <t>Przychody ze sprzedaży 
Q1 2022 / Sales revenue Q1 2022</t>
  </si>
  <si>
    <t>EBITDA 
Q1 2022</t>
  </si>
  <si>
    <t>EBIT 
Q1 2022</t>
  </si>
  <si>
    <t>Aktywa ogółem na dzień 
31 marca 2022 / Total assets as of 31.03.2022</t>
  </si>
  <si>
    <t>I półrocze 2022 /
H1 2022</t>
  </si>
  <si>
    <t>30 czerwca 2022 / 
30 June 2022</t>
  </si>
  <si>
    <t>II kwartał 2022 r. /
Q2 2022</t>
  </si>
  <si>
    <t>30 czerwca 2022
/ As at 30 June 2022</t>
  </si>
  <si>
    <t>H1 2022</t>
  </si>
  <si>
    <t>Q2 2022</t>
  </si>
  <si>
    <t>Q3 2022</t>
  </si>
  <si>
    <t>Q4 2022</t>
  </si>
  <si>
    <t>Przychody ze sprzedaży 
H1 2022 / Sales revenue H1 2022</t>
  </si>
  <si>
    <t>EBITDA 
H1 2022</t>
  </si>
  <si>
    <t>EBIT 
H1 2022</t>
  </si>
  <si>
    <t>Aktywa ogółem na dzień 
30 czerwca 2022 / Total assets as of 30.06.2022</t>
  </si>
  <si>
    <t>EBIT 
H1 2021</t>
  </si>
  <si>
    <t>Przychody ze sprzedaży 
Q2 2022 / Sales revenue Q2 2022</t>
  </si>
  <si>
    <t>EBITDA 
Q2 2022</t>
  </si>
  <si>
    <t>EBIT 
Q2 2022</t>
  </si>
  <si>
    <t>Przychody ze sprzedaży 
Q2 2021 / Sales revenue Q2 2021</t>
  </si>
  <si>
    <t>EBIT 
Q2 2021</t>
  </si>
  <si>
    <t>Jaworzno II i III</t>
  </si>
  <si>
    <t>ZW Tychy (blok biomasowy i kotły węglowe) / ZW Tychy (biomass and fossil unit)</t>
  </si>
  <si>
    <t>Rekompensaty / Recompensation revenue</t>
  </si>
  <si>
    <t>30 września 2022
/ As at 30 September 2022</t>
  </si>
  <si>
    <t>III kwartał 2022 r. /
Q3 2022</t>
  </si>
  <si>
    <t>Q1-Q3 2022</t>
  </si>
  <si>
    <t>Przychody ze sprzedaży 
Q3 2022 / Sales revenue Q3 2022</t>
  </si>
  <si>
    <t>EBITDA 
Q3 2022</t>
  </si>
  <si>
    <t xml:space="preserve">EBIT 
Q3 2022 </t>
  </si>
  <si>
    <t>Aktywa ogółem na dzień 
30 września 2022 / Total assets as of 30.09.2022</t>
  </si>
  <si>
    <t>Przychody ze sprzedaży 
Q1-Q3 2022 / Sales revenue Q1-Q3 2022</t>
  </si>
  <si>
    <t>EBITDA 
Q1-Q3 2022</t>
  </si>
  <si>
    <t xml:space="preserve">EBIT 
Q1-Q3 2022 </t>
  </si>
  <si>
    <t>Udział w zyskach/ (stratach) wspólnych przedsięwzięć / Share in profit/(loss) of joint ventures</t>
  </si>
  <si>
    <t>Zysk (strata) netto z działalności kontynuowanej /Net profit (loss) on continuing operations</t>
  </si>
  <si>
    <t>Zysk (strata) netto z działalności zaniechanej / Net profit (loss) on discontinued operations</t>
  </si>
  <si>
    <t>Pozostałe całkowite dochody z działalności zaniechanej /Other comprehensive income on discontinued operations</t>
  </si>
  <si>
    <t>Rok zakończony 31 grudnia 2022 r. / 
Year ended 31 December 2022</t>
  </si>
  <si>
    <t>Rok zakończony 31 grudnia 2021 r. (dane przekształcone)/ 
Year ended 31 December 2021 (reststed figures)</t>
  </si>
  <si>
    <r>
      <t xml:space="preserve">Rok zakończony 31 grudnia 2021 r. </t>
    </r>
    <r>
      <rPr>
        <i/>
        <sz val="10"/>
        <rFont val="Arial"/>
        <family val="2"/>
        <charset val="238"/>
      </rPr>
      <t>(dane przekształcone)</t>
    </r>
    <r>
      <rPr>
        <sz val="10"/>
        <rFont val="Arial"/>
        <family val="2"/>
        <charset val="238"/>
      </rPr>
      <t xml:space="preserve">/ 
Year ended 31 December 2021 </t>
    </r>
    <r>
      <rPr>
        <i/>
        <sz val="10"/>
        <rFont val="Arial"/>
        <family val="2"/>
        <charset val="238"/>
      </rPr>
      <t>(reststed figures)</t>
    </r>
  </si>
  <si>
    <t xml:space="preserve">   Odpis grupy do zbycia z tytułu przeszacowania do wartości godziwej /Write-down of disposable group due to revaluation to fair value</t>
  </si>
  <si>
    <t xml:space="preserve">   Nabycie udziałów niekontrolujących / Purchase of non-controlling shares</t>
  </si>
  <si>
    <t>II półrocze 2022 /
H2 2022</t>
  </si>
  <si>
    <t>II półrocze 2021 (dane przekształcone ) /
H2 2021 (restated figures)</t>
  </si>
  <si>
    <t xml:space="preserve">     Pozostałe wydatki/ Other payments</t>
  </si>
  <si>
    <t>IV kwartał 2022 r. /
Q4 2022</t>
  </si>
  <si>
    <t>IV kwartał 2021 r.  (dane przekształcone)/
Q4 2021 (restated figures)</t>
  </si>
  <si>
    <r>
      <t>Świadectwa pochodzenia energii i prawa do emisji CO</t>
    </r>
    <r>
      <rPr>
        <vertAlign val="subscript"/>
        <sz val="9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do umorzenia / Energy certificates and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emission allowances for surrender</t>
    </r>
  </si>
  <si>
    <r>
      <t>Świadectwa pochodzenia energii i prawa do emisji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do umorzenia / Energy certificates and CO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emission allowances for surrender</t>
    </r>
  </si>
  <si>
    <t>Wpływy z tytułu zaciągnięcia kredytów/ pożyczek / Proceeds from contracted loans and borrowings</t>
  </si>
  <si>
    <t xml:space="preserve">   Aktualizacja wartości udzielonych pożyczek / Impairment losses on loans granted</t>
  </si>
  <si>
    <t xml:space="preserve">   Różnice kursowe /Exchange differences</t>
  </si>
  <si>
    <t xml:space="preserve">   Utrata kontroli nad spółką zależną / Loss of control over a subsidiary</t>
  </si>
  <si>
    <t xml:space="preserve">     Utrata kontroli nad spółką zależną / Loss of control over a subsidiary</t>
  </si>
  <si>
    <t>FY 2022</t>
  </si>
  <si>
    <t>Przychody ze sprzedaży 
Q4 2022 / Sales revenue Q4 2022</t>
  </si>
  <si>
    <t>EBITDA 
Q4 2022</t>
  </si>
  <si>
    <t xml:space="preserve">EBIT 
Q4 2022 </t>
  </si>
  <si>
    <t>Przychody ze sprzedaży 
Q1-Q4 2022 / Sales revenue Q1-Q4 2022</t>
  </si>
  <si>
    <t>EBITDA 
Q1-Q4 2022</t>
  </si>
  <si>
    <t xml:space="preserve">EBIT 
Q1-Q4 2022 </t>
  </si>
  <si>
    <t>Przychody ze sprzedaży 
Q1-Q4 2021 / Sales revenue Q1-Q4 2021</t>
  </si>
  <si>
    <t>EBITDA 
Q1-Q4 2021</t>
  </si>
  <si>
    <t xml:space="preserve">EBIT 
Q1-Q4 2021 </t>
  </si>
  <si>
    <t>Aktywa ogółem na dzień 
31 grudnia2022 / Total assets as of 31.12.2022</t>
  </si>
  <si>
    <t>Farmy fotowoltaiczne/Photovoltaic farms</t>
  </si>
  <si>
    <t>Q1-Q4 2022</t>
  </si>
  <si>
    <t>Q1-Q4 2021</t>
  </si>
  <si>
    <t>Nowe Jaworzno</t>
  </si>
  <si>
    <t>Blok 910MW</t>
  </si>
  <si>
    <t>I kwartał 2022 r. (dane przekształcone) /
Q1 2022 (restated figures)</t>
  </si>
  <si>
    <t>31 marca 2023
/ As at 31 March 2023</t>
  </si>
  <si>
    <t>Przychody ze sprzedaży 
Q1 2023 / Sales revenue Q1 2023</t>
  </si>
  <si>
    <t>EBITDA 
Q1 2023</t>
  </si>
  <si>
    <t xml:space="preserve">EBIT 
Q1 2023 </t>
  </si>
  <si>
    <t xml:space="preserve">EBIT 
Q1 2022 </t>
  </si>
  <si>
    <t>Aktywa ogółem na dzień 
31 marca2023 / Total assets as of 31.03.2023</t>
  </si>
  <si>
    <t>Aktywa ogółem na dzień 
31 grudnia 2022 / Total assets as of 31.12.2022</t>
  </si>
  <si>
    <t>Q1 2023</t>
  </si>
  <si>
    <t>Q4 2023</t>
  </si>
  <si>
    <t>Q3 2023</t>
  </si>
  <si>
    <t>Q2 2023</t>
  </si>
  <si>
    <t>Rezerwy na koszty demontażu środków trwałych i rekultywację terenu/ Provisions for disassembly of fixed assets, land restoration</t>
  </si>
  <si>
    <t>30 czerwca 2023 / 
30 June 2023</t>
  </si>
  <si>
    <t>Zysk (strata) przed opodatkowaniem / Profit (loss) before tax</t>
  </si>
  <si>
    <t>II kwartał 2022 r. (dane przekształcone) /
Q2 2022 (restated figures)</t>
  </si>
  <si>
    <t>H1 2023</t>
  </si>
  <si>
    <t>Piotrków</t>
  </si>
  <si>
    <t>Majewo</t>
  </si>
  <si>
    <t>Choszczno</t>
  </si>
  <si>
    <t>Przychody ze sprzedaży 
H1 2023 / Sales revenue H1 2023</t>
  </si>
  <si>
    <t>EBITDA 
H1 2023</t>
  </si>
  <si>
    <t xml:space="preserve">EBIT 
H1 2023 </t>
  </si>
  <si>
    <t xml:space="preserve">EBIT 
H1 2022 </t>
  </si>
  <si>
    <t>Aktywa ogółem na dzień 
30 czerwca2023 / Total assets as of 30.06.2023</t>
  </si>
  <si>
    <t xml:space="preserve">EBIT 
Q2 2022 </t>
  </si>
  <si>
    <t>Przychody ze sprzedaży 
Q2 2023 / Sales revenue Q2 2023</t>
  </si>
  <si>
    <t>EBITDA 
Q2 2023</t>
  </si>
  <si>
    <t xml:space="preserve">EBIT 
Q2 2023 </t>
  </si>
  <si>
    <t>III kwartał 2022 r. (dane przekształcone) /
Q3 2022 (restated figures)</t>
  </si>
  <si>
    <t>30 września 2023
/ As at 30 September 2023</t>
  </si>
  <si>
    <t>Q1-Q3 2023</t>
  </si>
  <si>
    <t>Przychody ze sprzedaży 
Q3 2023 / Sales revenue Q3 2023</t>
  </si>
  <si>
    <t>EBITDA 
Q3 2023</t>
  </si>
  <si>
    <t xml:space="preserve">EBIT 
Q3 2023 </t>
  </si>
  <si>
    <t>Aktywa ogółem na dzień 
30 września2023 / Total assets as of 30.09.2023</t>
  </si>
  <si>
    <t>Przychody ze sprzedaży 
Q1-Q3 2023 / Sales revenue Q1-Q3 2023</t>
  </si>
  <si>
    <t>EBITDA 
Q1-Q3 2023</t>
  </si>
  <si>
    <t xml:space="preserve">EBIT 
Q1-Q3 2023 </t>
  </si>
  <si>
    <t>Udział w pozostałych całkowitych dochodach wspólnych przedsięwzięć/ 'Share in other comprehensive income of joint ventures</t>
  </si>
  <si>
    <t>Zobowiązania inwestycyjne/ Capital commitments</t>
  </si>
  <si>
    <t>Wycena instrumentów pochodnych / Valuation of derivatives</t>
  </si>
  <si>
    <t xml:space="preserve">   Pozostałe / Other</t>
  </si>
  <si>
    <t>I półrocze 2022 (dane przekształcone ) /
H1 2022 (restated figures)</t>
  </si>
  <si>
    <t>Silniki gazowe</t>
  </si>
  <si>
    <t>TAURON Nowe Technologie</t>
  </si>
  <si>
    <t>FY 2023</t>
  </si>
  <si>
    <t>Przychody ze sprzedaży 
FY 2023 / Sales revenue FY 2023</t>
  </si>
  <si>
    <t>EBITDA 
FY 2023</t>
  </si>
  <si>
    <t xml:space="preserve">EBIT 
FY 2023 </t>
  </si>
  <si>
    <t>Przychody ze sprzedaży 
FY 2022 / Sales revenue FY 2022</t>
  </si>
  <si>
    <t>EBITDA 
FY 2022</t>
  </si>
  <si>
    <t xml:space="preserve">EBIT 
FY 2022 </t>
  </si>
  <si>
    <t>Aktywa ogółem na dzień 
31 grudnia 2023 / Total assets as of 31.12.2023</t>
  </si>
  <si>
    <t>Przychody ze sprzedaży 
Q4 2023 / Sales revenue Q4 2023</t>
  </si>
  <si>
    <t>EBITDA 
Q4 2023</t>
  </si>
  <si>
    <t xml:space="preserve">EBIT 
Q4 2023 </t>
  </si>
  <si>
    <r>
      <t xml:space="preserve">31 grudnia 2023
</t>
    </r>
    <r>
      <rPr>
        <i/>
        <sz val="10"/>
        <rFont val="Arial"/>
        <family val="2"/>
        <charset val="238"/>
      </rPr>
      <t xml:space="preserve">(dane przekształcone) / </t>
    </r>
    <r>
      <rPr>
        <sz val="10"/>
        <rFont val="Arial"/>
        <family val="2"/>
        <charset val="238"/>
      </rPr>
      <t xml:space="preserve">
31 December 2023
</t>
    </r>
    <r>
      <rPr>
        <i/>
        <sz val="10"/>
        <rFont val="Arial"/>
        <family val="2"/>
        <charset val="238"/>
      </rPr>
      <t xml:space="preserve"> (restated figures)</t>
    </r>
  </si>
  <si>
    <t>31 grudnia 2023
(dane przekształcone) / 
31 December 2023
 (restated figures)</t>
  </si>
  <si>
    <t>31 marca 2024
/ As at 31 March 2024</t>
  </si>
  <si>
    <t>Q1 2024</t>
  </si>
  <si>
    <t>Przychody ze sprzedaży 
Q1 2024 / Sales revenue Q1 2024</t>
  </si>
  <si>
    <t>EBITDA 
Q1 2024</t>
  </si>
  <si>
    <t xml:space="preserve">EBIT 
Q1 2024 </t>
  </si>
  <si>
    <t>ZW Cieszyn</t>
  </si>
  <si>
    <t>30 czerwca 2024 / 
30 June 2024</t>
  </si>
  <si>
    <t>I półrocze 2023  (dane przekształcone) /
H1 2023 (restated figures)</t>
  </si>
  <si>
    <t>II kwartał 2023 r. (dane przekształcone)/
Q2 2023 (restated figures)</t>
  </si>
  <si>
    <t>H1 2024</t>
  </si>
  <si>
    <t>Q2 2024</t>
  </si>
  <si>
    <t>Q3 2024</t>
  </si>
  <si>
    <t>Q4 2024</t>
  </si>
  <si>
    <t>Aktywa ogółem na dzień 
30 czerwca2024 / Total assets as of 30.06.2024</t>
  </si>
  <si>
    <t>Zysk brutto ze sprzedaży / Profit on sale</t>
  </si>
  <si>
    <t xml:space="preserve">Zysk operacyjny / Operating profit </t>
  </si>
  <si>
    <t xml:space="preserve">Zysk przed opodatkowaniem / Profit before tax </t>
  </si>
  <si>
    <t xml:space="preserve">Zysk  przed opodatkowaniem / Profit before tax </t>
  </si>
  <si>
    <t>30 września 2024
/ As at 30 September 2024</t>
  </si>
  <si>
    <t>Q1-Q3 2024</t>
  </si>
  <si>
    <t>Aktywa ogółem na dzień 
30 września 2024 / Total assets as of 30.09.2024</t>
  </si>
  <si>
    <t>TZE</t>
  </si>
  <si>
    <t>Zysk  netto przypadający: / Net profit :</t>
  </si>
  <si>
    <t>Zysk na jedną akcję podstawowy i rozwodniony (w złotych) / Profit per share basic and diluted (in PLN)</t>
  </si>
  <si>
    <t>Nabycie rzeczowych aktywów trwałych i aktywów niematerialnych oraz praw do użytkowania aktywów/ Purchase of property, plant and equipment and intangible assets and right-of-use assets</t>
  </si>
  <si>
    <t>Rok zakończony 31 grudnia 2023 r. (dane przekształcone)/ 
Year ended 31 December 2023 (reststed figures)</t>
  </si>
  <si>
    <r>
      <t xml:space="preserve">31 grudnia 2022
</t>
    </r>
    <r>
      <rPr>
        <i/>
        <sz val="10"/>
        <rFont val="Arial"/>
        <family val="2"/>
        <charset val="238"/>
      </rPr>
      <t xml:space="preserve">(dane przekształcone) / </t>
    </r>
    <r>
      <rPr>
        <sz val="10"/>
        <rFont val="Arial"/>
        <family val="2"/>
        <charset val="238"/>
      </rPr>
      <t xml:space="preserve">
31 December 2022
</t>
    </r>
    <r>
      <rPr>
        <i/>
        <sz val="10"/>
        <rFont val="Arial"/>
        <family val="2"/>
        <charset val="238"/>
      </rPr>
      <t xml:space="preserve"> (restated figures)</t>
    </r>
  </si>
  <si>
    <t>II półrocze 2023  (dane przekształcone) /
H2 2023 (restated figures)</t>
  </si>
  <si>
    <t>31 grudnia 2024 / 
31 December 2024</t>
  </si>
  <si>
    <t>31 grudnia 2022
(dane przekształcone) / 
31 December 2022
 (restated figures)</t>
  </si>
  <si>
    <t>IV kwartał 2023 r. (dane przekształcone)/
Q4 2023 (restated figures)</t>
  </si>
  <si>
    <t>II półrocze 2024 (dane przekształcone)/
H2 2024 (restated figures)</t>
  </si>
  <si>
    <t>I półrocze 2024 (dane przekształcone)/
H1 2024 (restated figures)</t>
  </si>
  <si>
    <t>I półrocze 2023  (dane przekształcone)/
H1 2023 (restated figures)</t>
  </si>
  <si>
    <t>I kwartał 2023 r. (dane przekształcone)/
Q1 2023 (restated figures)</t>
  </si>
  <si>
    <t>III kwartał 2023 r. (dane przekształcone)/
Q3 2023 (restated figures)</t>
  </si>
  <si>
    <t>I kwartał 2024 r. (dane przekształcone)/
Q1 2024 (restated figures)</t>
  </si>
  <si>
    <t>II kwartał 2024 r. (dane przekształcone)/
Q2 2024 (restated figures)</t>
  </si>
  <si>
    <t>III kwartał 2024 r. (dane przekształcone)/
Q3 2024 (restated figures)</t>
  </si>
  <si>
    <t>IV kwartał 2024 r. (dane przekształcone)/
Q4 2024 (restated figures)</t>
  </si>
  <si>
    <t>I półrocze 2024  (dane przekształcone) /
H1 2024 (restated figures)</t>
  </si>
  <si>
    <t>II półrocze 2024  (dane przekształcone) /
H2 2024 (restated figures)</t>
  </si>
  <si>
    <t>31 marca 2025
/ As at 31 March 2025</t>
  </si>
  <si>
    <t>Przychody ze sprzedaży 
Q1 2024 / Sales revenue Q1 2024
(dane przekształcone/restated figures)</t>
  </si>
  <si>
    <t>EBITDA 
Q1 2024
(dane przekształcone/restated figures)</t>
  </si>
  <si>
    <t>EBIT 
Q1 2024 
(dane przekształcone/restated figures)</t>
  </si>
  <si>
    <t>EBIT 
Q2 2024 
(dane przekształcone/restated figures)</t>
  </si>
  <si>
    <t>EBITDA 
Q2 2024
(dane przekształcone/restated figures)</t>
  </si>
  <si>
    <t>Przychody ze sprzedaży 
Q2 2024 / Sales revenue Q2 2024
(dane przekształcone/restated figures)</t>
  </si>
  <si>
    <t>Przychody ze sprzedaży 
Q1 2023 / Sales revenue Q1 2023
(dane przekształcone/restated figures)</t>
  </si>
  <si>
    <t>EBITDA 
Q1 2023
(dane przekształcone/restated figures)</t>
  </si>
  <si>
    <t>EBIT 
Q1 2023
(dane przekształcone/restated figures)</t>
  </si>
  <si>
    <t>Przychody ze sprzedaży 
Q2 2023 / Sales revenue Q2 2023
(dane przekształcone/restated figures)</t>
  </si>
  <si>
    <t>EBITDA 
Q2 2023
(dane przekształcone/restated figures)</t>
  </si>
  <si>
    <t>EBIT 
Q2 2023 
(dane przekształcone/restated figures)</t>
  </si>
  <si>
    <t>EBIT 
H1 2023 
(dane przekształcone/restated figures)</t>
  </si>
  <si>
    <t>EBIT 
H1 2024 
(dane przekształcone/restated figures)</t>
  </si>
  <si>
    <t>EBITDA 
H1 2024
(dane przekształcone/restated figures)</t>
  </si>
  <si>
    <t>EBITDA 
H1 2023
(dane przekształcone/restated figures)</t>
  </si>
  <si>
    <t>Przychody ze sprzedaży 
H1 2023 / Sales revenue H1 2023
(dane przekształcone/restated figures)</t>
  </si>
  <si>
    <t>Przychody ze sprzedaży 
H1 2024 / Sales revenue H1 2024
(dane przekształcone/restated figures)</t>
  </si>
  <si>
    <t>EBIT 
Q3 2024 
(dane przekształcone/restated figures)</t>
  </si>
  <si>
    <t>EBIT 
Q3 2023 
(dane przekształcone/restated figures)</t>
  </si>
  <si>
    <t>EBITDA 
Q3 2024
(dane przekształcone/restated figures)</t>
  </si>
  <si>
    <t>EBITDA 
Q3 2023
(dane przekształcone/restated figures)</t>
  </si>
  <si>
    <t>Przychody ze sprzedaży 
Q3 2023 / Sales revenue Q3 2023
(dane przekształcone/restated figures)</t>
  </si>
  <si>
    <t>Przychody ze sprzedaży 
Q3 2024 / Sales revenue Q3 2024
(dane przekształcone/restated figures)</t>
  </si>
  <si>
    <t>EBIT 
Q1-Q3 2024 
(dane przekształcone/restated figures)</t>
  </si>
  <si>
    <t>EBIT 
Q1-Q3 2023 
(dane przekształcone/restated figures)</t>
  </si>
  <si>
    <t>EBITDA 
Q1-Q3 2023
(dane przekształcone/restated figures)</t>
  </si>
  <si>
    <t>Przychody ze sprzedaży 
Q1-Q3 2023 / Sales revenue Q1-Q3 2023
(dane przekształcone/restated figures)</t>
  </si>
  <si>
    <t>Przychody ze sprzedaży 
Q1-Q3 2024 / Sales revenue Q1-Q3 2024
(dane przekształcone/restated figures)</t>
  </si>
  <si>
    <t>EBITDA 
Q1-Q3 2024
(dane przekształcone/restated figures)</t>
  </si>
  <si>
    <t>Q4 2025</t>
  </si>
  <si>
    <t>Q3 2025</t>
  </si>
  <si>
    <t>Q2 2025</t>
  </si>
  <si>
    <t>Q1 2025</t>
  </si>
  <si>
    <t>Przychody ze sprzedaży 
Q4 2024 / Sales revenue Q4 2024</t>
  </si>
  <si>
    <t>EBITDA 
Q4 2024</t>
  </si>
  <si>
    <t xml:space="preserve">EBIT 
Q4 2024 </t>
  </si>
  <si>
    <t>Przychody ze sprzedaży 
Q1 2025 / Sales revenue Q1 2025</t>
  </si>
  <si>
    <t>EBITDA 
Q1 2025</t>
  </si>
  <si>
    <t xml:space="preserve">EBIT 
Q1 2025 </t>
  </si>
  <si>
    <t>Aktywa ogółem na dzień 
31 marca 2025 / Total assets as of 31.03.2025</t>
  </si>
  <si>
    <t>Aktywa ogółem na dzień 
31 grudzień 2024 / Total assets as of 31.12.2024</t>
  </si>
  <si>
    <t>Aktywa ogółem na dzień 
31 grudnia 2024 / Total assets as of 31.12.2024</t>
  </si>
  <si>
    <t>Aktywa ogółem na dzień 
31 marca 2024 / Total assets as of 31.03.2024</t>
  </si>
  <si>
    <t>Aktywa ogółem na dzień 
30 czerwca 2024 / Total assets as of 30.06.2024</t>
  </si>
  <si>
    <t>FY 2024</t>
  </si>
  <si>
    <t>n</t>
  </si>
  <si>
    <t>Przychody ze sprzedaży 
FY 2024 / Sales revenue FY 2024</t>
  </si>
  <si>
    <t>EBITDA 
FY 2024</t>
  </si>
  <si>
    <t xml:space="preserve">EBIT 
FY 2024 </t>
  </si>
  <si>
    <t>Wynik na instrumentach pochodnych / Gain/loss on derivative instruments</t>
  </si>
  <si>
    <t>30 czerwca 2025 / 
30 June 2025</t>
  </si>
  <si>
    <t xml:space="preserve">II kwartał 2025 r. /
Q2 2025 </t>
  </si>
  <si>
    <t>I kwartał 2025 r. /
Q1 2025</t>
  </si>
  <si>
    <t>I półrocze 2025 /
H1 2025</t>
  </si>
  <si>
    <t>Otrzymane dotacje / Grants received</t>
  </si>
  <si>
    <t>Wpływy z tytułu zwrotu odsetek  od obligacji/ Bond interest refund proceeds</t>
  </si>
  <si>
    <t>H1 2025</t>
  </si>
  <si>
    <t>Przychody ze sprzedaży 
H1 2025 / Sales revenue H1 2025
(dane przekształcone/restated figures)</t>
  </si>
  <si>
    <t>EBITDA 
H1 2025
(dane przekształcone/restated figures)</t>
  </si>
  <si>
    <t>EBIT 
H1 2025 
(dane przekształcone/restated figures)</t>
  </si>
  <si>
    <t>Przychody ze sprzedaży 
Q2 2025 / Sales revenue Q2 2025
(dane przekształcone/restated figures)</t>
  </si>
  <si>
    <t>EBITDA 
Q2 2025
(dane przekształcone/restated figures)</t>
  </si>
  <si>
    <t>EBIT 
Q2 2025 
(dane przekształcone/restated figures)</t>
  </si>
  <si>
    <t>Aktywa ogółem na dzień 
30 czerwca 2025 / Total assets as of 30.06.2025</t>
  </si>
  <si>
    <t xml:space="preserve">Zysk netto / Net profit </t>
  </si>
  <si>
    <t>30 września 2025
/ As at 30 September 2025</t>
  </si>
  <si>
    <t>III kwartał 2025 r. (dane przekształcone)/
Q3 2025 (restated figures)</t>
  </si>
  <si>
    <t xml:space="preserve">     Nabycie/ wykup udziałów niekontrolujących /Acquisition of non-controlling shares </t>
  </si>
  <si>
    <t xml:space="preserve">     Nabycie/wykup udziałów niekontrolujących / Purchase of non-controlling shares</t>
  </si>
  <si>
    <t>Q1-Q3 2025</t>
  </si>
  <si>
    <t>Aktywa ogółem na dzień 
30 września 2025 / Total assets as of 30.09.2025</t>
  </si>
  <si>
    <t xml:space="preserve">Przychody ze sprzedaży 
Q1-Q3 2025 / Sales revenue Q1-Q3 2025
</t>
  </si>
  <si>
    <t xml:space="preserve">Przychody ze sprzedaży 
Q3 2025 / Sales revenue Q3 2025
</t>
  </si>
  <si>
    <t xml:space="preserve">EBITDA 
Q3 2025
</t>
  </si>
  <si>
    <t xml:space="preserve">EBIT 
Q3 2025 
</t>
  </si>
  <si>
    <t xml:space="preserve">EBITDA 
Q1-Q3 2025
</t>
  </si>
  <si>
    <t xml:space="preserve">EBIT 
Q1-Q3 2025 
</t>
  </si>
  <si>
    <t xml:space="preserve">Majewo </t>
  </si>
  <si>
    <t>Jednostka/ Unit</t>
  </si>
  <si>
    <t>Segment Ciepło / Heat Segment</t>
  </si>
  <si>
    <t>Działaność zaniechana / Discontinued operations</t>
  </si>
  <si>
    <t>Działalnośc zaniechana / Discontinued operations</t>
  </si>
  <si>
    <t>Pozostałe nieprzypisane/Eliminacje / / Other Unassigned/Eliminations</t>
  </si>
  <si>
    <t>Pozostałe nieprzypisane/Eliminacje / Other Unassigned/Eliminations</t>
  </si>
  <si>
    <t xml:space="preserve">   Aktualizacja wartości udzielonych pożyczek / Revision of the value of loans granted</t>
  </si>
  <si>
    <t xml:space="preserve">   Różnice kursowe / Exchange differences</t>
  </si>
  <si>
    <t>Stan na 
31 grudnia 2025
/ As at 
31 December  2025</t>
  </si>
  <si>
    <t xml:space="preserve">Koszt własny sprzedaży  / Cost of sales </t>
  </si>
  <si>
    <t xml:space="preserve">Pozostałe przychody operacyjne/ Other operating income </t>
  </si>
  <si>
    <t>Pozostałe  koszty operacyjne/ Other operating expenses</t>
  </si>
  <si>
    <r>
      <t>Pozostałe całkowite dochody, które mogą być przeklasyfikowane w wynik finansowy /</t>
    </r>
    <r>
      <rPr>
        <b/>
        <sz val="10"/>
        <rFont val="Arial"/>
        <family val="2"/>
        <charset val="238"/>
      </rPr>
      <t xml:space="preserve"> Other comprehensive income to be reclassified in the financial result</t>
    </r>
  </si>
  <si>
    <r>
      <t xml:space="preserve">Pozostałe całkowite dochody, które nie mogą być przeklasyfikowane w wynik finansowy / </t>
    </r>
    <r>
      <rPr>
        <b/>
        <sz val="10"/>
        <rFont val="Arial"/>
        <family val="2"/>
        <charset val="238"/>
      </rPr>
      <t>Other comprehensive income not to be reclassified in the financial result</t>
    </r>
  </si>
  <si>
    <t>25.1</t>
  </si>
  <si>
    <t>31.1</t>
  </si>
  <si>
    <t>25.2</t>
  </si>
  <si>
    <t>Wykup dłużnych papierów wartościowych / Redemption of debt securities</t>
  </si>
  <si>
    <t>Rok zakończony 31 grudnia 2025 r. / 
Year ended 31 December 2025</t>
  </si>
  <si>
    <t>31 grudnia 2025 / 
31 December 2025</t>
  </si>
  <si>
    <t xml:space="preserve">II półrocze 2025 /
H2 2025 </t>
  </si>
  <si>
    <t xml:space="preserve">I półrocze 2025 /
H1 2025 </t>
  </si>
  <si>
    <t>II kwartał 2025 r. /
Q2 2025</t>
  </si>
  <si>
    <t>III kwartał 2025 r. /
Q3 2025</t>
  </si>
  <si>
    <t>IV kwartał 2025 r. /
Q4 2025</t>
  </si>
  <si>
    <t>IV kwartał 2025 r. (dane przekształcone)/
Q4 2025 (restated figures)</t>
  </si>
  <si>
    <r>
      <t xml:space="preserve">Rok zakończony 
31 grudnia 2024
</t>
    </r>
    <r>
      <rPr>
        <i/>
        <sz val="10"/>
        <rFont val="Arial"/>
        <family val="2"/>
        <charset val="238"/>
      </rPr>
      <t xml:space="preserve">(dane przekształcone)
</t>
    </r>
    <r>
      <rPr>
        <sz val="10"/>
        <rFont val="Arial"/>
        <family val="2"/>
        <charset val="238"/>
      </rPr>
      <t xml:space="preserve">/ Year ended 
31 December 2024
</t>
    </r>
    <r>
      <rPr>
        <i/>
        <sz val="10"/>
        <rFont val="Arial"/>
        <family val="2"/>
        <charset val="238"/>
      </rPr>
      <t xml:space="preserve">(restated figures)
</t>
    </r>
  </si>
  <si>
    <t>Zobowiązania z tytułu umów z klientami oraz zaliczek otrzymanych/ Liabilities arising from contracts with customers and advance payments received</t>
  </si>
  <si>
    <t xml:space="preserve">Przychody ze sprzedaży 
FY 2025 / Sales revenue FY 2025
</t>
  </si>
  <si>
    <t xml:space="preserve">EBITDA 
FY 2025
</t>
  </si>
  <si>
    <t xml:space="preserve">EBIT 
FY  2025 
</t>
  </si>
  <si>
    <t>Aktywa ogółem na dzień 
31 grudnia 2025 / Total assets as of 31.12.2025</t>
  </si>
  <si>
    <t>Przychody ze sprzedaży 
FY 2024 / Sales revenue FY 2024
(dane przekształcone/restated figures)</t>
  </si>
  <si>
    <t>EBITDA 
FY 2024
(dane przekształcone/restated figures)</t>
  </si>
  <si>
    <t>EBIT 
FY 2024 
(dane przekształcone/restated figures)</t>
  </si>
  <si>
    <t xml:space="preserve">Przychody ze sprzedaży 
Q4 2025 / Sales revenue Q4 2025
</t>
  </si>
  <si>
    <t xml:space="preserve">EBITDA 
Q4 2025
</t>
  </si>
  <si>
    <t xml:space="preserve">EBIT 
Q4 2025 
</t>
  </si>
  <si>
    <t>FY 2025</t>
  </si>
  <si>
    <t>Postomino</t>
  </si>
  <si>
    <t>Zyski aktuarialne / Actuarial profit</t>
  </si>
  <si>
    <t>31.4</t>
  </si>
  <si>
    <t>19.1</t>
  </si>
  <si>
    <t>26</t>
  </si>
  <si>
    <t>19.2</t>
  </si>
  <si>
    <t>31.3</t>
  </si>
  <si>
    <t>31.5</t>
  </si>
  <si>
    <t>23</t>
  </si>
  <si>
    <t>40</t>
  </si>
  <si>
    <t>45.1</t>
  </si>
  <si>
    <t>45.2</t>
  </si>
  <si>
    <t>45.3</t>
  </si>
  <si>
    <t>I kwartał 2026 r. /
Q1 2026</t>
  </si>
  <si>
    <t>31 marca 2026
/ As at 31 March 2026</t>
  </si>
  <si>
    <t>Q1 2026</t>
  </si>
  <si>
    <t>Przychody ze sprzedaży 
Q1 2026 / Sales revenue Q1 2026</t>
  </si>
  <si>
    <t>EBITDA 
Q1 2026</t>
  </si>
  <si>
    <t xml:space="preserve">EBIT 
Q1 2026 </t>
  </si>
  <si>
    <t>Aktywa ogółem na dzień 
31 marca 2026 / Total assets as of 31.03.2026</t>
  </si>
  <si>
    <r>
      <t xml:space="preserve">Okres 6 miesięcy zakończony 30 czerwca 2026 </t>
    </r>
    <r>
      <rPr>
        <i/>
        <sz val="10"/>
        <rFont val="Arial"/>
        <family val="2"/>
        <charset val="238"/>
      </rPr>
      <t xml:space="preserve">(niebadane)
</t>
    </r>
    <r>
      <rPr>
        <sz val="10"/>
        <rFont val="Arial"/>
        <family val="2"/>
        <charset val="238"/>
      </rPr>
      <t xml:space="preserve">/ 6-month period ended 30 June 2026 </t>
    </r>
    <r>
      <rPr>
        <i/>
        <sz val="10"/>
        <rFont val="Arial"/>
        <family val="2"/>
        <charset val="238"/>
      </rPr>
      <t xml:space="preserve">(unaudited)
</t>
    </r>
  </si>
  <si>
    <r>
      <t xml:space="preserve">Okres 6 miesięcy zakończony 30 czerwca 2025 </t>
    </r>
    <r>
      <rPr>
        <i/>
        <sz val="10"/>
        <rFont val="Arial"/>
        <family val="2"/>
        <charset val="238"/>
      </rPr>
      <t xml:space="preserve">(dane przekształcone niebadane)
</t>
    </r>
    <r>
      <rPr>
        <sz val="10"/>
        <rFont val="Arial"/>
        <family val="2"/>
        <charset val="238"/>
      </rPr>
      <t xml:space="preserve">/ 6-month period ended 30 June 2025 </t>
    </r>
    <r>
      <rPr>
        <i/>
        <sz val="10"/>
        <rFont val="Arial"/>
        <family val="2"/>
        <charset val="238"/>
      </rPr>
      <t xml:space="preserve">(unaudited restated figures)
</t>
    </r>
  </si>
  <si>
    <r>
      <t xml:space="preserve">Okres 3 miesięcy zakończony 30 czerwca 2026 </t>
    </r>
    <r>
      <rPr>
        <i/>
        <sz val="10"/>
        <rFont val="Arial"/>
        <family val="2"/>
        <charset val="238"/>
      </rPr>
      <t xml:space="preserve">(niepodlegające przeglądowi)
</t>
    </r>
    <r>
      <rPr>
        <sz val="10"/>
        <rFont val="Arial"/>
        <family val="2"/>
        <charset val="238"/>
      </rPr>
      <t xml:space="preserve">/ 3-month period ended 30 June 2026 </t>
    </r>
    <r>
      <rPr>
        <i/>
        <sz val="10"/>
        <rFont val="Arial"/>
        <family val="2"/>
        <charset val="238"/>
      </rPr>
      <t xml:space="preserve">(figures not subject to review)
</t>
    </r>
  </si>
  <si>
    <r>
      <t xml:space="preserve">Okres 3 miesięcy zakończony 30 czerwca 2025 </t>
    </r>
    <r>
      <rPr>
        <i/>
        <sz val="10"/>
        <rFont val="Arial"/>
        <family val="2"/>
        <charset val="238"/>
      </rPr>
      <t xml:space="preserve">(dane przekształcone niepodlegające przeglądowi)
</t>
    </r>
    <r>
      <rPr>
        <sz val="10"/>
        <rFont val="Arial"/>
        <family val="2"/>
        <charset val="238"/>
      </rPr>
      <t xml:space="preserve">/ 3-month period ended 30 June 2025 </t>
    </r>
    <r>
      <rPr>
        <i/>
        <sz val="10"/>
        <rFont val="Arial"/>
        <family val="2"/>
        <charset val="238"/>
      </rPr>
      <t xml:space="preserve">(restated figures not subject to review)
</t>
    </r>
  </si>
  <si>
    <t xml:space="preserve"> Pozostałe koszty finansowe/ Other finance costs</t>
  </si>
  <si>
    <t xml:space="preserve"> Pozostałe przychody i koszty finansowe/ Other finance income</t>
  </si>
  <si>
    <t>Różnice kursowe z przeliczenia jednostki zagranicznej / Foreign exchange differences from translation of foreign entity</t>
  </si>
  <si>
    <r>
      <t xml:space="preserve">Stan na 
30 czerwca  2026 </t>
    </r>
    <r>
      <rPr>
        <i/>
        <sz val="10"/>
        <rFont val="Arial"/>
        <family val="2"/>
        <charset val="238"/>
      </rPr>
      <t>(niebadane)</t>
    </r>
    <r>
      <rPr>
        <sz val="10"/>
        <rFont val="Arial"/>
        <family val="2"/>
        <charset val="238"/>
      </rPr>
      <t xml:space="preserve">
/ As at 
30 June  2025 </t>
    </r>
    <r>
      <rPr>
        <i/>
        <sz val="10"/>
        <rFont val="Arial"/>
        <family val="2"/>
        <charset val="238"/>
      </rPr>
      <t>(unaudited)</t>
    </r>
  </si>
  <si>
    <r>
      <t xml:space="preserve">Okres 6 miesięcy zakończony 30 czerwca 2025 </t>
    </r>
    <r>
      <rPr>
        <i/>
        <sz val="10"/>
        <rFont val="Arial"/>
        <family val="2"/>
        <charset val="238"/>
      </rPr>
      <t xml:space="preserve">(niebadane)
</t>
    </r>
    <r>
      <rPr>
        <sz val="10"/>
        <rFont val="Arial"/>
        <family val="2"/>
        <charset val="238"/>
      </rPr>
      <t xml:space="preserve">/ 6-month period ended 30 June 2025 </t>
    </r>
    <r>
      <rPr>
        <i/>
        <sz val="10"/>
        <rFont val="Arial"/>
        <family val="2"/>
        <charset val="238"/>
      </rPr>
      <t xml:space="preserve">(unaudited)
</t>
    </r>
  </si>
  <si>
    <t>Odpisy aktualizujące wartość niefinansowych aktywów trwałych / Impairment losses on non-financial non-current assets</t>
  </si>
  <si>
    <t>Nabycie aktywów finansowych / Purchase of financial assets</t>
  </si>
  <si>
    <t>Pozostałe wpływy / Other proceeds</t>
  </si>
  <si>
    <t>Wykup udziałów niekontrolujących / Acquisition of minority shares</t>
  </si>
  <si>
    <t>II kwartał 2026 r. /
Q 2026</t>
  </si>
  <si>
    <t>30 czerwca 2026 / 
30 June 2026</t>
  </si>
  <si>
    <t>II kwartał 2026 r. /
Q2 2026</t>
  </si>
  <si>
    <t>I półrocze 2026 /
H1 2026</t>
  </si>
  <si>
    <t>Q2 2026</t>
  </si>
  <si>
    <t>Aktywa ogółem na dzień 
30 czerwca 2026 / Total assets as of 30.06.2026</t>
  </si>
  <si>
    <t>EBIT 
Q2 2026 
(dane przekształcone/restated figures)</t>
  </si>
  <si>
    <t>EBITDA 
Q2 2026
(dane przekształcone/restated figures)</t>
  </si>
  <si>
    <t>Przychody ze sprzedaży 
Q2 2026 / Sales revenue Q2 2026
(dane przekształcone/restated figures)</t>
  </si>
  <si>
    <t>H1 2026</t>
  </si>
  <si>
    <t>Magazyny energii / Energy storage</t>
  </si>
  <si>
    <t>Dąbie</t>
  </si>
  <si>
    <t>Przewóz</t>
  </si>
  <si>
    <t>Przychody ze sprzedaży 
H1 2026 / Sales revenue H1 2026</t>
  </si>
  <si>
    <t>EBITDA 
H1 2026</t>
  </si>
  <si>
    <t>EBIT 
H1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</si>
</sst>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6" formatCode="#,##0\ &quot;zł&quot;;[Red]\-#,##0\ &quot;zł&quot;"/>
    <numFmt numFmtId="43" formatCode="_-* #,##0.00_-;\-* #,##0.00_-;_-* &quot;-&quot;??_-;_-@_-"/>
    <numFmt numFmtId="164" formatCode="_(* #,##0.00_);_(* \(#,##0.00\);_(* &quot;-&quot;??_);_(@_)"/>
    <numFmt numFmtId="165" formatCode="#,##0_);[Red]\(#,##0\)"/>
    <numFmt numFmtId="166" formatCode="_-* #,##0\ _z_ł_-;\-* #,##0\ _z_ł_-;_-* &quot;-&quot;??\ _z_ł_-;_-@_-"/>
    <numFmt numFmtId="167" formatCode="0.0"/>
    <numFmt numFmtId="168" formatCode="_-* #,##0&quot;   &quot;;[Black]\(#,##0\)&quot;  &quot;;&quot;-   &quot;"/>
    <numFmt numFmtId="169" formatCode="#,##0_);[Black]\(#,##0\)"/>
    <numFmt numFmtId="170" formatCode="_-* #,##0.00&quot;   &quot;;[Red]\(#,##0.00\)&quot;  &quot;;&quot;-   &quot;"/>
    <numFmt numFmtId="171" formatCode="_-* #,##0&quot;   &quot;;[Red]\(#,##0\)&quot;  &quot;;&quot;-   &quot;"/>
    <numFmt numFmtId="172" formatCode="#,##0.00_);[Red]\(#,##0.00\)"/>
    <numFmt numFmtId="173" formatCode="_-* #,##0.0\ _z_ł_-;\-* #,##0.0\ _z_ł_-;_-* &quot;-&quot;??\ _z_ł_-;_-@_-"/>
    <numFmt numFmtId="174" formatCode="_(* #,##0_);_(* \(#,##0\);_(* &quot;-&quot;??_);_(@_)"/>
    <numFmt numFmtId="175" formatCode="_-* #,##0.00\ _z_ł_-;\-* #,##0.00\ _z_ł_-;_-* &quot;-&quot;??\ _z_ł_-;_-@_-"/>
    <numFmt numFmtId="176" formatCode="_-#,##0&quot;   &quot;;\-#,##0&quot;   &quot;;_-&quot;-   &quot;"/>
    <numFmt numFmtId="177" formatCode="0.000"/>
    <numFmt numFmtId="178" formatCode="#,##0.00;[Red]#,##0.00"/>
    <numFmt numFmtId="179" formatCode="#,##0.0"/>
    <numFmt numFmtId="180" formatCode="_-* #,##0.00&quot;   &quot;;[Black]\(#,##0.00\)&quot;  &quot;;&quot;-   &quot;"/>
    <numFmt numFmtId="181" formatCode="_-* #,##0.00\ [$€-1]_-;\-* #,##0.00\ [$€-1]_-;_-* &quot;-&quot;??\ [$€-1]_-"/>
    <numFmt numFmtId="182" formatCode="0%_);\(0%\)"/>
    <numFmt numFmtId="183" formatCode="_(* #,##0_);_(* \(#,##0\);_(* &quot; - &quot;_);_(@_)"/>
    <numFmt numFmtId="184" formatCode="_-* #,##0.00\ &quot;Sk&quot;_-;\-* #,##0.00\ &quot;Sk&quot;_-;_-* &quot;-&quot;??\ &quot;Sk&quot;_-;_-@_-"/>
    <numFmt numFmtId="185" formatCode="General_)"/>
    <numFmt numFmtId="186" formatCode="&quot;L.&quot;\ #,##0;[Red]\-&quot;L.&quot;\ #,##0"/>
    <numFmt numFmtId="187" formatCode="#,##0;\-#,##0;&quot;-&quot;"/>
    <numFmt numFmtId="188" formatCode="_-\ #,##0&quot;   &quot;;\(#,##0\)&quot;  &quot;;&quot;-   &quot;"/>
    <numFmt numFmtId="189" formatCode="_(* #,##0.0_);_(* \(#,##0.0\);_(* &quot;-&quot;??_);_(@_)"/>
  </numFmts>
  <fonts count="16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6"/>
      <color rgb="FF4B4B4B"/>
      <name val="Arial"/>
      <family val="2"/>
      <charset val="238"/>
    </font>
    <font>
      <sz val="12"/>
      <color rgb="FF4B4B4B"/>
      <name val="Arial"/>
      <family val="2"/>
      <charset val="238"/>
    </font>
    <font>
      <sz val="10"/>
      <color rgb="FF4B4B4B"/>
      <name val="Arial"/>
      <family val="2"/>
      <charset val="238"/>
    </font>
    <font>
      <b/>
      <sz val="10"/>
      <color rgb="FF4B4B4B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1"/>
      <color rgb="FF4B4B4B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b/>
      <sz val="10"/>
      <color theme="0" tint="-0.249977111117893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sz val="10"/>
      <color theme="0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rgb="FF4B4B4B"/>
      <name val="Arial"/>
      <family val="2"/>
      <charset val="238"/>
    </font>
    <font>
      <b/>
      <sz val="10"/>
      <color theme="1" tint="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theme="0"/>
      <name val="Calibri"/>
      <family val="2"/>
      <charset val="238"/>
      <scheme val="minor"/>
    </font>
    <font>
      <sz val="9"/>
      <color theme="1" tint="0.34998626667073579"/>
      <name val="Calibri"/>
      <family val="2"/>
      <charset val="238"/>
      <scheme val="minor"/>
    </font>
    <font>
      <b/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b/>
      <sz val="10"/>
      <color theme="1" tint="0.499984740745262"/>
      <name val="Arial"/>
      <family val="2"/>
      <charset val="238"/>
    </font>
    <font>
      <sz val="16"/>
      <color theme="1" tint="0.49998474074526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12"/>
      <color theme="1" tint="0.499984740745262"/>
      <name val="Calibri"/>
      <family val="2"/>
      <charset val="238"/>
      <scheme val="minor"/>
    </font>
    <font>
      <b/>
      <sz val="11"/>
      <color theme="1" tint="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5"/>
      <color rgb="FFFF000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rgb="FF545556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2"/>
      <color theme="1" tint="0.34998626667073579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11"/>
      <color theme="1" tint="0.34998626667073579"/>
      <name val="Calibri"/>
      <family val="2"/>
      <charset val="238"/>
      <scheme val="minor"/>
    </font>
    <font>
      <b/>
      <sz val="12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4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B050"/>
      <name val="Arial"/>
      <family val="2"/>
      <charset val="238"/>
    </font>
    <font>
      <sz val="12"/>
      <color rgb="FF00B05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vertAlign val="subscript"/>
      <sz val="9"/>
      <color theme="1"/>
      <name val="Arial"/>
      <family val="2"/>
      <charset val="238"/>
    </font>
    <font>
      <sz val="16"/>
      <color rgb="FF4B4B4B"/>
      <name val="Arial"/>
      <family val="2"/>
      <charset val="238"/>
    </font>
    <font>
      <sz val="10"/>
      <color rgb="FF4B4B4B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4B4B4B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b/>
      <sz val="10"/>
      <color rgb="FF4B4B4B"/>
      <name val="Arial"/>
      <family val="2"/>
      <charset val="238"/>
    </font>
    <font>
      <sz val="10"/>
      <color rgb="FF4B4B4B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rgb="FF4B4B4B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16"/>
      <color rgb="FF4B4B4B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10"/>
      <color theme="1"/>
      <name val="Arial"/>
      <family val="2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Helv"/>
      <family val="2"/>
    </font>
    <font>
      <sz val="12"/>
      <name val="Tms Rmn"/>
      <family val="2"/>
    </font>
    <font>
      <sz val="9"/>
      <name val="Times New Roman"/>
      <family val="1"/>
    </font>
    <font>
      <sz val="8"/>
      <name val="Swiss"/>
      <family val="2"/>
      <charset val="238"/>
    </font>
    <font>
      <sz val="10"/>
      <name val="MS Sans Serif"/>
      <family val="2"/>
      <charset val="238"/>
    </font>
    <font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4B4B4B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2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sz val="10"/>
      <color rgb="FF4B4B4B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6"/>
      <color rgb="FF4B4B4B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sz val="10"/>
      <color rgb="FF4B4B4B"/>
      <name val="Arial"/>
      <family val="2"/>
      <charset val="238"/>
    </font>
    <font>
      <sz val="10"/>
      <name val="Arial"/>
      <family val="2"/>
      <charset val="238"/>
    </font>
    <font>
      <sz val="16"/>
      <color rgb="FF4B4B4B"/>
      <name val="Arial"/>
      <family val="2"/>
      <charset val="238"/>
    </font>
    <font>
      <b/>
      <sz val="10"/>
      <color rgb="FF4B4B4B"/>
      <name val="Arial"/>
      <family val="2"/>
      <charset val="238"/>
    </font>
    <font>
      <b/>
      <sz val="12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2007A"/>
        <bgColor indexed="64"/>
      </patternFill>
    </fill>
    <fill>
      <patternFill patternType="solid">
        <fgColor rgb="FFE2007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6357615894039736E-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ED7A5"/>
        <bgColor indexed="64"/>
      </patternFill>
    </fill>
    <fill>
      <patternFill patternType="solid">
        <fgColor theme="8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rgb="FFE2007A"/>
      </bottom>
      <diagonal/>
    </border>
    <border>
      <left/>
      <right/>
      <top style="thin">
        <color rgb="FFE2007A"/>
      </top>
      <bottom/>
      <diagonal/>
    </border>
    <border>
      <left/>
      <right/>
      <top style="thin">
        <color rgb="FF949494"/>
      </top>
      <bottom/>
      <diagonal/>
    </border>
    <border>
      <left/>
      <right/>
      <top/>
      <bottom style="thin">
        <color rgb="FF949494"/>
      </bottom>
      <diagonal/>
    </border>
    <border>
      <left/>
      <right/>
      <top style="thin">
        <color rgb="FF949494"/>
      </top>
      <bottom style="thin">
        <color rgb="FF949494"/>
      </bottom>
      <diagonal/>
    </border>
    <border>
      <left/>
      <right/>
      <top style="thin">
        <color rgb="FFE2007A"/>
      </top>
      <bottom style="thin">
        <color rgb="FF949494"/>
      </bottom>
      <diagonal/>
    </border>
    <border>
      <left/>
      <right/>
      <top style="thin">
        <color rgb="FFE2007A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rgb="FFE2007A"/>
      </top>
      <bottom style="thin">
        <color rgb="FFE2007A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rgb="FF5E5E5E"/>
      </top>
      <bottom/>
      <diagonal/>
    </border>
    <border>
      <left/>
      <right/>
      <top style="thin">
        <color rgb="FF5E5E5E"/>
      </top>
      <bottom style="thin">
        <color rgb="FF5E5E5E"/>
      </bottom>
      <diagonal/>
    </border>
    <border>
      <left/>
      <right/>
      <top style="thin">
        <color rgb="FFFF33CC"/>
      </top>
      <bottom style="thin">
        <color rgb="FFFF33CC"/>
      </bottom>
      <diagonal/>
    </border>
    <border>
      <left/>
      <right/>
      <top/>
      <bottom style="thin">
        <color rgb="FFFF33CC"/>
      </bottom>
      <diagonal/>
    </border>
    <border>
      <left/>
      <right/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hair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rgb="FF808080"/>
      </left>
      <right style="thin">
        <color rgb="FF808080"/>
      </right>
      <top style="dotted">
        <color rgb="FF808080"/>
      </top>
      <bottom style="thin">
        <color rgb="FF808080"/>
      </bottom>
      <diagonal/>
    </border>
    <border>
      <left style="thin">
        <color rgb="FF808080"/>
      </left>
      <right style="hair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thin">
        <color rgb="FF808080"/>
      </top>
      <bottom/>
      <diagonal/>
    </border>
    <border>
      <left style="hair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hair">
        <color rgb="FF808080"/>
      </right>
      <top style="thin">
        <color rgb="FF808080"/>
      </top>
      <bottom/>
      <diagonal/>
    </border>
    <border>
      <left style="hair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thin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hair">
        <color rgb="FF808080"/>
      </right>
      <top style="hair">
        <color rgb="FF808080"/>
      </top>
      <bottom style="thin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thin">
        <color rgb="FF808080"/>
      </bottom>
      <diagonal/>
    </border>
    <border>
      <left style="hair">
        <color rgb="FF808080"/>
      </left>
      <right style="thin">
        <color rgb="FF808080"/>
      </right>
      <top style="hair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hair">
        <color rgb="FF808080"/>
      </top>
      <bottom style="hair">
        <color rgb="FF808080"/>
      </bottom>
      <diagonal/>
    </border>
    <border>
      <left style="thin">
        <color rgb="FF808080"/>
      </left>
      <right/>
      <top style="hair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 style="hair">
        <color rgb="FF808080"/>
      </top>
      <bottom style="hair">
        <color rgb="FF808080"/>
      </bottom>
      <diagonal/>
    </border>
    <border>
      <left/>
      <right style="thin">
        <color rgb="FF808080"/>
      </right>
      <top style="hair">
        <color rgb="FF808080"/>
      </top>
      <bottom style="thin">
        <color rgb="FF808080"/>
      </bottom>
      <diagonal/>
    </border>
    <border>
      <left/>
      <right/>
      <top/>
      <bottom style="thin">
        <color rgb="FFFF66CC"/>
      </bottom>
      <diagonal/>
    </border>
    <border>
      <left/>
      <right/>
      <top/>
      <bottom style="thin">
        <color theme="1" tint="0.499984740745262"/>
      </bottom>
      <diagonal/>
    </border>
    <border>
      <left style="thick">
        <color theme="1" tint="0.34998626667073579"/>
      </left>
      <right style="thick">
        <color theme="1" tint="0.34998626667073579"/>
      </right>
      <top/>
      <bottom/>
      <diagonal/>
    </border>
    <border>
      <left style="thick">
        <color theme="1" tint="0.34998626667073579"/>
      </left>
      <right style="thick">
        <color theme="1" tint="0.34998626667073579"/>
      </right>
      <top/>
      <bottom style="thin">
        <color theme="0" tint="-0.499984740745262"/>
      </bottom>
      <diagonal/>
    </border>
    <border>
      <left style="thick">
        <color theme="1" tint="0.34998626667073579"/>
      </left>
      <right style="thick">
        <color theme="1" tint="0.34998626667073579"/>
      </right>
      <top/>
      <bottom style="thin">
        <color rgb="FF949494"/>
      </bottom>
      <diagonal/>
    </border>
    <border>
      <left style="thick">
        <color theme="1" tint="0.34998626667073579"/>
      </left>
      <right style="thick">
        <color theme="1" tint="0.34998626667073579"/>
      </right>
      <top style="thin">
        <color rgb="FF949494"/>
      </top>
      <bottom style="thin">
        <color rgb="FF94949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rgb="FFE2007A"/>
      </bottom>
      <diagonal/>
    </border>
    <border>
      <left style="thick">
        <color auto="1"/>
      </left>
      <right style="thick">
        <color auto="1"/>
      </right>
      <top style="thin">
        <color rgb="FF949494"/>
      </top>
      <bottom style="thin">
        <color rgb="FF949494"/>
      </bottom>
      <diagonal/>
    </border>
    <border>
      <left style="thick">
        <color auto="1"/>
      </left>
      <right style="thick">
        <color auto="1"/>
      </right>
      <top/>
      <bottom style="thin">
        <color rgb="FF949494"/>
      </bottom>
      <diagonal/>
    </border>
    <border>
      <left style="thick">
        <color auto="1"/>
      </left>
      <right style="thick">
        <color auto="1"/>
      </right>
      <top style="thin">
        <color rgb="FFE2007A"/>
      </top>
      <bottom style="thin">
        <color rgb="FF949494"/>
      </bottom>
      <diagonal/>
    </border>
    <border>
      <left style="thick">
        <color auto="1"/>
      </left>
      <right style="thick">
        <color auto="1"/>
      </right>
      <top/>
      <bottom style="thin">
        <color theme="0" tint="-0.499984740745262"/>
      </bottom>
      <diagonal/>
    </border>
    <border>
      <left style="thick">
        <color auto="1"/>
      </left>
      <right style="thick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auto="1"/>
      </right>
      <top style="thin">
        <color rgb="FF949494"/>
      </top>
      <bottom style="thin">
        <color rgb="FF949494"/>
      </bottom>
      <diagonal/>
    </border>
    <border>
      <left style="thick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rgb="FFE2007A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66">
    <xf numFmtId="0" fontId="0" fillId="0" borderId="0"/>
    <xf numFmtId="164" fontId="1" fillId="0" borderId="0" applyFont="0" applyFill="0" applyBorder="0" applyAlignment="0" applyProtection="0"/>
    <xf numFmtId="0" fontId="75" fillId="0" borderId="0"/>
    <xf numFmtId="176" fontId="47" fillId="12" borderId="0" applyFont="0" applyFill="0" applyBorder="0" applyProtection="0">
      <alignment horizontal="right" vertical="center"/>
    </xf>
    <xf numFmtId="0" fontId="100" fillId="0" borderId="0"/>
    <xf numFmtId="43" fontId="100" fillId="0" borderId="0" applyFont="0" applyFill="0" applyBorder="0" applyAlignment="0" applyProtection="0"/>
    <xf numFmtId="0" fontId="1" fillId="0" borderId="0"/>
    <xf numFmtId="0" fontId="1" fillId="0" borderId="0"/>
    <xf numFmtId="49" fontId="100" fillId="0" borderId="0" applyFont="0" applyFill="0" applyBorder="0" applyAlignment="0" applyProtection="0"/>
    <xf numFmtId="0" fontId="1" fillId="0" borderId="0"/>
    <xf numFmtId="0" fontId="100" fillId="0" borderId="0"/>
    <xf numFmtId="0" fontId="1" fillId="0" borderId="0"/>
    <xf numFmtId="0" fontId="102" fillId="0" borderId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3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7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0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21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6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3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3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1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9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25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7" fillId="18" borderId="62" applyNumberFormat="0" applyAlignment="0" applyProtection="0"/>
    <xf numFmtId="0" fontId="107" fillId="18" borderId="62" applyNumberFormat="0" applyAlignment="0" applyProtection="0"/>
    <xf numFmtId="0" fontId="107" fillId="18" borderId="62" applyNumberFormat="0" applyAlignment="0" applyProtection="0"/>
    <xf numFmtId="0" fontId="107" fillId="18" borderId="62" applyNumberFormat="0" applyAlignment="0" applyProtection="0"/>
    <xf numFmtId="0" fontId="107" fillId="18" borderId="62" applyNumberFormat="0" applyAlignment="0" applyProtection="0"/>
    <xf numFmtId="0" fontId="107" fillId="18" borderId="62" applyNumberFormat="0" applyAlignment="0" applyProtection="0"/>
    <xf numFmtId="0" fontId="107" fillId="18" borderId="62" applyNumberFormat="0" applyAlignment="0" applyProtection="0"/>
    <xf numFmtId="0" fontId="107" fillId="18" borderId="62" applyNumberFormat="0" applyAlignment="0" applyProtection="0"/>
    <xf numFmtId="0" fontId="107" fillId="18" borderId="62" applyNumberFormat="0" applyAlignment="0" applyProtection="0"/>
    <xf numFmtId="0" fontId="108" fillId="31" borderId="63" applyNumberFormat="0" applyAlignment="0" applyProtection="0"/>
    <xf numFmtId="0" fontId="108" fillId="31" borderId="63" applyNumberFormat="0" applyAlignment="0" applyProtection="0"/>
    <xf numFmtId="0" fontId="108" fillId="31" borderId="63" applyNumberFormat="0" applyAlignment="0" applyProtection="0"/>
    <xf numFmtId="0" fontId="108" fillId="31" borderId="63" applyNumberFormat="0" applyAlignment="0" applyProtection="0"/>
    <xf numFmtId="0" fontId="108" fillId="31" borderId="63" applyNumberFormat="0" applyAlignment="0" applyProtection="0"/>
    <xf numFmtId="0" fontId="108" fillId="31" borderId="63" applyNumberFormat="0" applyAlignment="0" applyProtection="0"/>
    <xf numFmtId="0" fontId="108" fillId="31" borderId="63" applyNumberFormat="0" applyAlignment="0" applyProtection="0"/>
    <xf numFmtId="0" fontId="108" fillId="31" borderId="63" applyNumberFormat="0" applyAlignment="0" applyProtection="0"/>
    <xf numFmtId="0" fontId="108" fillId="31" borderId="63" applyNumberFormat="0" applyAlignment="0" applyProtection="0"/>
    <xf numFmtId="49" fontId="101" fillId="0" borderId="64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0" fontId="109" fillId="15" borderId="0" applyNumberFormat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1" fontId="102" fillId="0" borderId="0" applyFont="0" applyFill="0" applyBorder="0" applyAlignment="0" applyProtection="0"/>
    <xf numFmtId="183" fontId="124" fillId="0" borderId="0" applyFill="0" applyBorder="0">
      <alignment horizontal="right" vertical="top"/>
    </xf>
    <xf numFmtId="14" fontId="104" fillId="17" borderId="65">
      <alignment horizontal="center" vertical="center" wrapText="1"/>
    </xf>
    <xf numFmtId="0" fontId="110" fillId="0" borderId="66" applyNumberFormat="0" applyFill="0" applyAlignment="0" applyProtection="0"/>
    <xf numFmtId="0" fontId="110" fillId="0" borderId="66" applyNumberFormat="0" applyFill="0" applyAlignment="0" applyProtection="0"/>
    <xf numFmtId="0" fontId="110" fillId="0" borderId="66" applyNumberFormat="0" applyFill="0" applyAlignment="0" applyProtection="0"/>
    <xf numFmtId="0" fontId="110" fillId="0" borderId="66" applyNumberFormat="0" applyFill="0" applyAlignment="0" applyProtection="0"/>
    <xf numFmtId="0" fontId="110" fillId="0" borderId="66" applyNumberFormat="0" applyFill="0" applyAlignment="0" applyProtection="0"/>
    <xf numFmtId="0" fontId="110" fillId="0" borderId="66" applyNumberFormat="0" applyFill="0" applyAlignment="0" applyProtection="0"/>
    <xf numFmtId="0" fontId="110" fillId="0" borderId="66" applyNumberFormat="0" applyFill="0" applyAlignment="0" applyProtection="0"/>
    <xf numFmtId="0" fontId="110" fillId="0" borderId="66" applyNumberFormat="0" applyFill="0" applyAlignment="0" applyProtection="0"/>
    <xf numFmtId="0" fontId="110" fillId="0" borderId="66" applyNumberFormat="0" applyFill="0" applyAlignment="0" applyProtection="0"/>
    <xf numFmtId="0" fontId="111" fillId="32" borderId="67" applyNumberFormat="0" applyAlignment="0" applyProtection="0"/>
    <xf numFmtId="0" fontId="111" fillId="32" borderId="67" applyNumberFormat="0" applyAlignment="0" applyProtection="0"/>
    <xf numFmtId="0" fontId="111" fillId="32" borderId="67" applyNumberFormat="0" applyAlignment="0" applyProtection="0"/>
    <xf numFmtId="0" fontId="111" fillId="32" borderId="67" applyNumberFormat="0" applyAlignment="0" applyProtection="0"/>
    <xf numFmtId="0" fontId="111" fillId="32" borderId="67" applyNumberFormat="0" applyAlignment="0" applyProtection="0"/>
    <xf numFmtId="0" fontId="111" fillId="32" borderId="67" applyNumberFormat="0" applyAlignment="0" applyProtection="0"/>
    <xf numFmtId="0" fontId="111" fillId="32" borderId="67" applyNumberFormat="0" applyAlignment="0" applyProtection="0"/>
    <xf numFmtId="0" fontId="111" fillId="32" borderId="67" applyNumberFormat="0" applyAlignment="0" applyProtection="0"/>
    <xf numFmtId="0" fontId="111" fillId="32" borderId="67" applyNumberFormat="0" applyAlignment="0" applyProtection="0"/>
    <xf numFmtId="184" fontId="102" fillId="0" borderId="0" applyFont="0" applyFill="0" applyBorder="0" applyAlignment="0" applyProtection="0"/>
    <xf numFmtId="185" fontId="125" fillId="0" borderId="0"/>
    <xf numFmtId="38" fontId="126" fillId="0" borderId="0" applyFont="0" applyFill="0" applyBorder="0" applyAlignment="0" applyProtection="0"/>
    <xf numFmtId="38" fontId="126" fillId="0" borderId="0" applyFont="0" applyFill="0" applyBorder="0" applyAlignment="0" applyProtection="0"/>
    <xf numFmtId="38" fontId="126" fillId="0" borderId="0" applyFont="0" applyFill="0" applyBorder="0" applyAlignment="0" applyProtection="0"/>
    <xf numFmtId="38" fontId="126" fillId="0" borderId="0" applyFont="0" applyFill="0" applyBorder="0" applyAlignment="0" applyProtection="0"/>
    <xf numFmtId="38" fontId="126" fillId="0" borderId="0" applyFont="0" applyFill="0" applyBorder="0" applyAlignment="0" applyProtection="0"/>
    <xf numFmtId="38" fontId="126" fillId="0" borderId="0" applyFont="0" applyFill="0" applyBorder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2" fillId="0" borderId="68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3" fillId="0" borderId="69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70" applyNumberFormat="0" applyFill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15" fillId="33" borderId="0" applyNumberFormat="0" applyBorder="0" applyAlignment="0" applyProtection="0"/>
    <xf numFmtId="0" fontId="102" fillId="0" borderId="0"/>
    <xf numFmtId="0" fontId="10" fillId="0" borderId="0"/>
    <xf numFmtId="0" fontId="116" fillId="31" borderId="62" applyNumberFormat="0" applyAlignment="0" applyProtection="0"/>
    <xf numFmtId="0" fontId="116" fillId="31" borderId="62" applyNumberFormat="0" applyAlignment="0" applyProtection="0"/>
    <xf numFmtId="0" fontId="116" fillId="31" borderId="62" applyNumberFormat="0" applyAlignment="0" applyProtection="0"/>
    <xf numFmtId="0" fontId="116" fillId="31" borderId="62" applyNumberFormat="0" applyAlignment="0" applyProtection="0"/>
    <xf numFmtId="0" fontId="116" fillId="31" borderId="62" applyNumberFormat="0" applyAlignment="0" applyProtection="0"/>
    <xf numFmtId="0" fontId="116" fillId="31" borderId="62" applyNumberFormat="0" applyAlignment="0" applyProtection="0"/>
    <xf numFmtId="0" fontId="116" fillId="31" borderId="62" applyNumberFormat="0" applyAlignment="0" applyProtection="0"/>
    <xf numFmtId="0" fontId="116" fillId="31" borderId="62" applyNumberFormat="0" applyAlignment="0" applyProtection="0"/>
    <xf numFmtId="0" fontId="116" fillId="31" borderId="62" applyNumberFormat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38" fontId="102" fillId="0" borderId="0" applyFont="0" applyFill="0" applyBorder="0" applyAlignment="0" applyProtection="0"/>
    <xf numFmtId="0" fontId="122" fillId="0" borderId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7" fillId="0" borderId="71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05" fillId="0" borderId="0" applyFill="0" applyBorder="0" applyProtection="0">
      <alignment horizontal="left" vertical="top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02" fillId="34" borderId="72" applyNumberFormat="0" applyFont="0" applyAlignment="0" applyProtection="0"/>
    <xf numFmtId="0" fontId="102" fillId="34" borderId="72" applyNumberFormat="0" applyFont="0" applyAlignment="0" applyProtection="0"/>
    <xf numFmtId="0" fontId="102" fillId="34" borderId="72" applyNumberFormat="0" applyFont="0" applyAlignment="0" applyProtection="0"/>
    <xf numFmtId="0" fontId="102" fillId="34" borderId="72" applyNumberFormat="0" applyFont="0" applyAlignment="0" applyProtection="0"/>
    <xf numFmtId="0" fontId="102" fillId="34" borderId="72" applyNumberFormat="0" applyFont="0" applyAlignment="0" applyProtection="0"/>
    <xf numFmtId="0" fontId="102" fillId="34" borderId="72" applyNumberFormat="0" applyFont="0" applyAlignment="0" applyProtection="0"/>
    <xf numFmtId="0" fontId="102" fillId="34" borderId="72" applyNumberFormat="0" applyFont="0" applyAlignment="0" applyProtection="0"/>
    <xf numFmtId="0" fontId="102" fillId="34" borderId="72" applyNumberFormat="0" applyFont="0" applyAlignment="0" applyProtection="0"/>
    <xf numFmtId="0" fontId="102" fillId="34" borderId="72" applyNumberFormat="0" applyFont="0" applyAlignment="0" applyProtection="0"/>
    <xf numFmtId="185" fontId="125" fillId="0" borderId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186" fontId="126" fillId="0" borderId="0" applyFont="0" applyFill="0" applyBorder="0" applyAlignment="0" applyProtection="0"/>
    <xf numFmtId="6" fontId="102" fillId="0" borderId="0" applyFont="0" applyFill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21" fillId="14" borderId="0" applyNumberFormat="0" applyBorder="0" applyAlignment="0" applyProtection="0"/>
    <xf numFmtId="0" fontId="102" fillId="0" borderId="0"/>
    <xf numFmtId="0" fontId="103" fillId="13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6" borderId="0" applyNumberFormat="0" applyBorder="0" applyAlignment="0" applyProtection="0"/>
    <xf numFmtId="0" fontId="103" fillId="17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6" fillId="26" borderId="0" applyNumberFormat="0" applyBorder="0" applyAlignment="0" applyProtection="0"/>
    <xf numFmtId="0" fontId="106" fillId="25" borderId="0" applyNumberFormat="0" applyBorder="0" applyAlignment="0" applyProtection="0"/>
    <xf numFmtId="0" fontId="106" fillId="24" borderId="0" applyNumberFormat="0" applyBorder="0" applyAlignment="0" applyProtection="0"/>
    <xf numFmtId="0" fontId="106" fillId="21" borderId="0" applyNumberFormat="0" applyBorder="0" applyAlignment="0" applyProtection="0"/>
    <xf numFmtId="0" fontId="106" fillId="20" borderId="0" applyNumberFormat="0" applyBorder="0" applyAlignment="0" applyProtection="0"/>
    <xf numFmtId="0" fontId="103" fillId="20" borderId="0" applyNumberFormat="0" applyBorder="0" applyAlignment="0" applyProtection="0"/>
    <xf numFmtId="0" fontId="106" fillId="23" borderId="0" applyNumberFormat="0" applyBorder="0" applyAlignment="0" applyProtection="0"/>
    <xf numFmtId="0" fontId="103" fillId="21" borderId="0" applyNumberFormat="0" applyBorder="0" applyAlignment="0" applyProtection="0"/>
    <xf numFmtId="0" fontId="103" fillId="22" borderId="0" applyNumberFormat="0" applyBorder="0" applyAlignment="0" applyProtection="0"/>
    <xf numFmtId="0" fontId="103" fillId="16" borderId="0" applyNumberFormat="0" applyBorder="0" applyAlignment="0" applyProtection="0"/>
    <xf numFmtId="0" fontId="103" fillId="19" borderId="0" applyNumberFormat="0" applyBorder="0" applyAlignment="0" applyProtection="0"/>
    <xf numFmtId="0" fontId="103" fillId="19" borderId="0" applyNumberFormat="0" applyBorder="0" applyAlignment="0" applyProtection="0"/>
    <xf numFmtId="0" fontId="103" fillId="16" borderId="0" applyNumberFormat="0" applyBorder="0" applyAlignment="0" applyProtection="0"/>
    <xf numFmtId="0" fontId="103" fillId="22" borderId="0" applyNumberFormat="0" applyBorder="0" applyAlignment="0" applyProtection="0"/>
    <xf numFmtId="0" fontId="103" fillId="21" borderId="0" applyNumberFormat="0" applyBorder="0" applyAlignment="0" applyProtection="0"/>
    <xf numFmtId="0" fontId="106" fillId="23" borderId="0" applyNumberFormat="0" applyBorder="0" applyAlignment="0" applyProtection="0"/>
    <xf numFmtId="0" fontId="106" fillId="20" borderId="0" applyNumberFormat="0" applyBorder="0" applyAlignment="0" applyProtection="0"/>
    <xf numFmtId="0" fontId="103" fillId="20" borderId="0" applyNumberFormat="0" applyBorder="0" applyAlignment="0" applyProtection="0"/>
    <xf numFmtId="0" fontId="106" fillId="21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106" fillId="26" borderId="0" applyNumberFormat="0" applyBorder="0" applyAlignment="0" applyProtection="0"/>
    <xf numFmtId="0" fontId="103" fillId="19" borderId="0" applyNumberFormat="0" applyBorder="0" applyAlignment="0" applyProtection="0"/>
    <xf numFmtId="0" fontId="103" fillId="18" borderId="0" applyNumberFormat="0" applyBorder="0" applyAlignment="0" applyProtection="0"/>
    <xf numFmtId="0" fontId="103" fillId="17" borderId="0" applyNumberFormat="0" applyBorder="0" applyAlignment="0" applyProtection="0"/>
    <xf numFmtId="0" fontId="103" fillId="16" borderId="0" applyNumberFormat="0" applyBorder="0" applyAlignment="0" applyProtection="0"/>
    <xf numFmtId="0" fontId="103" fillId="14" borderId="0" applyNumberFormat="0" applyBorder="0" applyAlignment="0" applyProtection="0"/>
    <xf numFmtId="0" fontId="103" fillId="13" borderId="0" applyNumberFormat="0" applyBorder="0" applyAlignment="0" applyProtection="0"/>
    <xf numFmtId="0" fontId="103" fillId="15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5" fillId="0" borderId="73" applyNumberFormat="0" applyFill="0" applyProtection="0">
      <alignment horizontal="center" vertical="center"/>
    </xf>
    <xf numFmtId="3" fontId="156" fillId="0" borderId="74" applyFont="0" applyFill="0" applyAlignment="0" applyProtection="0"/>
    <xf numFmtId="3" fontId="156" fillId="0" borderId="74" applyFont="0" applyFill="0" applyAlignment="0" applyProtection="0"/>
    <xf numFmtId="3" fontId="156" fillId="0" borderId="74" applyFont="0" applyFill="0" applyAlignment="0" applyProtection="0"/>
    <xf numFmtId="3" fontId="156" fillId="0" borderId="74" applyFont="0" applyFill="0" applyAlignment="0" applyProtection="0"/>
    <xf numFmtId="3" fontId="156" fillId="0" borderId="74" applyFont="0" applyFill="0" applyAlignment="0" applyProtection="0"/>
    <xf numFmtId="3" fontId="156" fillId="0" borderId="74" applyFont="0" applyFill="0" applyAlignment="0" applyProtection="0"/>
    <xf numFmtId="3" fontId="156" fillId="0" borderId="74" applyFont="0" applyFill="0" applyAlignment="0" applyProtection="0"/>
    <xf numFmtId="3" fontId="156" fillId="0" borderId="74" applyFont="0" applyFill="0" applyAlignment="0" applyProtection="0"/>
    <xf numFmtId="3" fontId="155" fillId="0" borderId="73" applyNumberFormat="0" applyFill="0" applyAlignment="0" applyProtection="0"/>
    <xf numFmtId="0" fontId="155" fillId="0" borderId="73" applyNumberFormat="0" applyFill="0" applyAlignment="0" applyProtection="0"/>
    <xf numFmtId="3" fontId="155" fillId="0" borderId="73" applyNumberFormat="0" applyFill="0" applyAlignment="0" applyProtection="0"/>
    <xf numFmtId="0" fontId="155" fillId="0" borderId="73" applyNumberFormat="0" applyFill="0" applyAlignment="0" applyProtection="0"/>
    <xf numFmtId="0" fontId="155" fillId="0" borderId="73" applyNumberFormat="0" applyFill="0" applyAlignment="0" applyProtection="0"/>
    <xf numFmtId="0" fontId="155" fillId="0" borderId="73" applyNumberFormat="0" applyFill="0" applyAlignment="0" applyProtection="0"/>
    <xf numFmtId="0" fontId="155" fillId="0" borderId="73" applyNumberFormat="0" applyFill="0" applyAlignment="0" applyProtection="0"/>
    <xf numFmtId="0" fontId="155" fillId="0" borderId="73" applyNumberFormat="0" applyFill="0" applyAlignment="0" applyProtection="0"/>
    <xf numFmtId="3" fontId="156" fillId="0" borderId="0" applyNumberFormat="0" applyBorder="0" applyAlignment="0" applyProtection="0"/>
    <xf numFmtId="3" fontId="156" fillId="0" borderId="0" applyNumberFormat="0" applyBorder="0" applyAlignment="0" applyProtection="0"/>
    <xf numFmtId="3" fontId="156" fillId="0" borderId="0" applyNumberFormat="0" applyBorder="0" applyAlignment="0" applyProtection="0"/>
    <xf numFmtId="3" fontId="156" fillId="0" borderId="0" applyNumberFormat="0" applyBorder="0" applyAlignment="0" applyProtection="0"/>
    <xf numFmtId="3" fontId="156" fillId="0" borderId="0" applyNumberFormat="0" applyBorder="0" applyAlignment="0" applyProtection="0"/>
    <xf numFmtId="3" fontId="156" fillId="0" borderId="74" applyNumberFormat="0" applyBorder="0" applyAlignment="0" applyProtection="0"/>
    <xf numFmtId="3" fontId="156" fillId="0" borderId="74" applyNumberFormat="0" applyBorder="0" applyAlignment="0" applyProtection="0"/>
    <xf numFmtId="3" fontId="156" fillId="0" borderId="74" applyNumberFormat="0" applyBorder="0" applyAlignment="0" applyProtection="0"/>
    <xf numFmtId="0" fontId="156" fillId="0" borderId="74" applyNumberFormat="0" applyFill="0" applyAlignment="0" applyProtection="0"/>
    <xf numFmtId="0" fontId="156" fillId="0" borderId="74" applyNumberFormat="0" applyFill="0" applyAlignment="0" applyProtection="0"/>
    <xf numFmtId="0" fontId="156" fillId="0" borderId="74">
      <alignment horizontal="right" vertical="center"/>
    </xf>
    <xf numFmtId="3" fontId="156" fillId="36" borderId="74">
      <alignment horizontal="center" vertical="center"/>
    </xf>
    <xf numFmtId="0" fontId="156" fillId="36" borderId="74">
      <alignment horizontal="right" vertical="center"/>
    </xf>
    <xf numFmtId="0" fontId="155" fillId="0" borderId="75">
      <alignment horizontal="left" vertical="center"/>
    </xf>
    <xf numFmtId="0" fontId="155" fillId="0" borderId="76">
      <alignment horizontal="center" vertical="center"/>
    </xf>
    <xf numFmtId="0" fontId="157" fillId="0" borderId="77">
      <alignment horizontal="center" vertical="center"/>
    </xf>
    <xf numFmtId="0" fontId="156" fillId="37" borderId="74"/>
    <xf numFmtId="3" fontId="155" fillId="0" borderId="73" applyFill="0" applyAlignment="0" applyProtection="0"/>
    <xf numFmtId="3" fontId="155" fillId="0" borderId="73" applyFill="0" applyAlignment="0" applyProtection="0"/>
    <xf numFmtId="3" fontId="155" fillId="0" borderId="73" applyFill="0" applyAlignment="0" applyProtection="0"/>
    <xf numFmtId="3" fontId="155" fillId="0" borderId="73" applyFill="0" applyAlignment="0" applyProtection="0"/>
    <xf numFmtId="0" fontId="155" fillId="0" borderId="73" applyFill="0" applyAlignment="0" applyProtection="0"/>
    <xf numFmtId="3" fontId="155" fillId="0" borderId="73" applyFill="0" applyAlignment="0" applyProtection="0"/>
    <xf numFmtId="0" fontId="155" fillId="0" borderId="76">
      <alignment horizontal="center" vertical="center"/>
    </xf>
    <xf numFmtId="0" fontId="155" fillId="0" borderId="76">
      <alignment horizontal="center" vertical="center"/>
    </xf>
    <xf numFmtId="3" fontId="156" fillId="0" borderId="74" applyFont="0" applyFill="0" applyAlignment="0" applyProtection="0"/>
    <xf numFmtId="0" fontId="156" fillId="0" borderId="74" applyFill="0" applyAlignment="0" applyProtection="0"/>
    <xf numFmtId="0" fontId="155" fillId="0" borderId="73" applyFill="0" applyAlignment="0" applyProtection="0"/>
    <xf numFmtId="3" fontId="155" fillId="0" borderId="73" applyFill="0" applyAlignment="0" applyProtection="0"/>
    <xf numFmtId="0" fontId="155" fillId="0" borderId="73" applyFill="0" applyAlignment="0" applyProtection="0"/>
    <xf numFmtId="0" fontId="155" fillId="0" borderId="73" applyFill="0" applyAlignment="0" applyProtection="0"/>
    <xf numFmtId="0" fontId="155" fillId="0" borderId="73" applyFill="0" applyAlignment="0" applyProtection="0"/>
    <xf numFmtId="0" fontId="155" fillId="0" borderId="73" applyFill="0" applyAlignment="0" applyProtection="0"/>
    <xf numFmtId="0" fontId="155" fillId="0" borderId="75">
      <alignment horizontal="left" vertical="center"/>
    </xf>
    <xf numFmtId="3" fontId="155" fillId="0" borderId="73" applyFill="0" applyAlignment="0" applyProtection="0"/>
    <xf numFmtId="3" fontId="158" fillId="0" borderId="74"/>
    <xf numFmtId="3" fontId="159" fillId="0" borderId="74"/>
    <xf numFmtId="0" fontId="155" fillId="0" borderId="76">
      <alignment horizontal="left" vertical="top"/>
    </xf>
    <xf numFmtId="0" fontId="160" fillId="0" borderId="74"/>
    <xf numFmtId="0" fontId="155" fillId="0" borderId="76">
      <alignment horizontal="left" vertical="center"/>
    </xf>
    <xf numFmtId="0" fontId="156" fillId="36" borderId="78"/>
    <xf numFmtId="3" fontId="156" fillId="0" borderId="74">
      <alignment horizontal="right" vertical="center"/>
    </xf>
    <xf numFmtId="0" fontId="155" fillId="0" borderId="76">
      <alignment horizontal="right" vertical="center"/>
    </xf>
    <xf numFmtId="0" fontId="156" fillId="0" borderId="77">
      <alignment horizontal="center" vertical="center"/>
    </xf>
    <xf numFmtId="3" fontId="156" fillId="0" borderId="74"/>
    <xf numFmtId="3" fontId="156" fillId="0" borderId="74"/>
    <xf numFmtId="0" fontId="156" fillId="0" borderId="77">
      <alignment horizontal="center" vertical="center" wrapText="1"/>
    </xf>
    <xf numFmtId="0" fontId="161" fillId="0" borderId="77">
      <alignment horizontal="left" vertical="center" indent="1"/>
    </xf>
    <xf numFmtId="0" fontId="162" fillId="0" borderId="74"/>
    <xf numFmtId="0" fontId="155" fillId="0" borderId="75">
      <alignment horizontal="left" vertical="center"/>
    </xf>
    <xf numFmtId="3" fontId="156" fillId="0" borderId="74">
      <alignment horizontal="center" vertical="center"/>
    </xf>
    <xf numFmtId="0" fontId="155" fillId="0" borderId="76">
      <alignment horizontal="center" vertical="center"/>
    </xf>
    <xf numFmtId="0" fontId="155" fillId="0" borderId="76">
      <alignment horizontal="center" vertical="center"/>
    </xf>
    <xf numFmtId="0" fontId="155" fillId="0" borderId="75">
      <alignment horizontal="left" vertical="center"/>
    </xf>
    <xf numFmtId="0" fontId="155" fillId="0" borderId="75">
      <alignment horizontal="left" vertical="center"/>
    </xf>
    <xf numFmtId="0" fontId="163" fillId="0" borderId="74"/>
  </cellStyleXfs>
  <cellXfs count="834">
    <xf numFmtId="0" fontId="0" fillId="0" borderId="0" xfId="0"/>
    <xf numFmtId="0" fontId="2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2" borderId="1" xfId="0" applyFont="1" applyFill="1" applyBorder="1"/>
    <xf numFmtId="0" fontId="4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3" fontId="4" fillId="2" borderId="0" xfId="1" applyNumberFormat="1" applyFont="1" applyFill="1" applyBorder="1"/>
    <xf numFmtId="0" fontId="0" fillId="2" borderId="0" xfId="0" applyFill="1"/>
    <xf numFmtId="0" fontId="4" fillId="2" borderId="3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4" fillId="2" borderId="0" xfId="0" applyNumberFormat="1" applyFont="1" applyFill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5" fillId="2" borderId="0" xfId="0" applyFont="1" applyFill="1"/>
    <xf numFmtId="166" fontId="9" fillId="2" borderId="3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right" vertical="center"/>
    </xf>
    <xf numFmtId="0" fontId="11" fillId="2" borderId="4" xfId="0" applyFont="1" applyFill="1" applyBorder="1"/>
    <xf numFmtId="0" fontId="4" fillId="2" borderId="4" xfId="0" applyFont="1" applyFill="1" applyBorder="1" applyAlignment="1">
      <alignment horizontal="left" indent="1"/>
    </xf>
    <xf numFmtId="166" fontId="9" fillId="2" borderId="0" xfId="1" applyNumberFormat="1" applyFont="1" applyFill="1" applyBorder="1" applyAlignment="1">
      <alignment horizontal="right" vertical="center"/>
    </xf>
    <xf numFmtId="0" fontId="5" fillId="2" borderId="3" xfId="0" applyFont="1" applyFill="1" applyBorder="1"/>
    <xf numFmtId="0" fontId="4" fillId="2" borderId="4" xfId="0" applyFont="1" applyFill="1" applyBorder="1" applyAlignment="1">
      <alignment horizontal="right" vertical="center"/>
    </xf>
    <xf numFmtId="0" fontId="12" fillId="2" borderId="3" xfId="0" applyFont="1" applyFill="1" applyBorder="1"/>
    <xf numFmtId="166" fontId="12" fillId="2" borderId="3" xfId="1" applyNumberFormat="1" applyFont="1" applyFill="1" applyBorder="1" applyAlignment="1">
      <alignment horizontal="right" vertical="center"/>
    </xf>
    <xf numFmtId="0" fontId="13" fillId="2" borderId="4" xfId="0" applyFont="1" applyFill="1" applyBorder="1" applyAlignment="1">
      <alignment horizontal="left" indent="1"/>
    </xf>
    <xf numFmtId="0" fontId="13" fillId="2" borderId="4" xfId="0" applyFont="1" applyFill="1" applyBorder="1"/>
    <xf numFmtId="0" fontId="15" fillId="2" borderId="0" xfId="0" applyFont="1" applyFill="1" applyAlignment="1">
      <alignment vertical="center"/>
    </xf>
    <xf numFmtId="166" fontId="10" fillId="2" borderId="0" xfId="1" applyNumberFormat="1" applyFont="1" applyFill="1" applyBorder="1" applyAlignment="1">
      <alignment vertical="center"/>
    </xf>
    <xf numFmtId="0" fontId="16" fillId="3" borderId="0" xfId="0" applyFont="1" applyFill="1" applyAlignment="1">
      <alignment horizontal="left" indent="1"/>
    </xf>
    <xf numFmtId="0" fontId="17" fillId="3" borderId="0" xfId="0" applyFont="1" applyFill="1"/>
    <xf numFmtId="166" fontId="16" fillId="3" borderId="0" xfId="0" applyNumberFormat="1" applyFont="1" applyFill="1" applyAlignment="1">
      <alignment horizontal="right" vertical="center"/>
    </xf>
    <xf numFmtId="0" fontId="18" fillId="2" borderId="0" xfId="0" applyFont="1" applyFill="1"/>
    <xf numFmtId="166" fontId="18" fillId="2" borderId="0" xfId="1" applyNumberFormat="1" applyFont="1" applyFill="1" applyBorder="1" applyAlignment="1">
      <alignment horizontal="right" vertical="center"/>
    </xf>
    <xf numFmtId="166" fontId="19" fillId="2" borderId="0" xfId="1" applyNumberFormat="1" applyFont="1" applyFill="1" applyBorder="1" applyAlignment="1">
      <alignment horizontal="right" vertical="center"/>
    </xf>
    <xf numFmtId="0" fontId="18" fillId="2" borderId="5" xfId="0" applyFont="1" applyFill="1" applyBorder="1"/>
    <xf numFmtId="166" fontId="9" fillId="2" borderId="5" xfId="1" applyNumberFormat="1" applyFont="1" applyFill="1" applyBorder="1" applyAlignment="1">
      <alignment horizontal="right" vertical="center"/>
    </xf>
    <xf numFmtId="0" fontId="12" fillId="2" borderId="5" xfId="0" applyFont="1" applyFill="1" applyBorder="1"/>
    <xf numFmtId="166" fontId="12" fillId="2" borderId="5" xfId="1" applyNumberFormat="1" applyFont="1" applyFill="1" applyBorder="1" applyAlignment="1">
      <alignment horizontal="right" vertical="center"/>
    </xf>
    <xf numFmtId="0" fontId="5" fillId="2" borderId="4" xfId="0" applyFont="1" applyFill="1" applyBorder="1"/>
    <xf numFmtId="1" fontId="4" fillId="2" borderId="0" xfId="0" applyNumberFormat="1" applyFont="1" applyFill="1" applyAlignment="1">
      <alignment horizontal="right" vertical="center"/>
    </xf>
    <xf numFmtId="166" fontId="5" fillId="2" borderId="5" xfId="1" applyNumberFormat="1" applyFont="1" applyFill="1" applyBorder="1" applyAlignment="1">
      <alignment horizontal="right" vertical="center"/>
    </xf>
    <xf numFmtId="166" fontId="10" fillId="2" borderId="0" xfId="1" applyNumberFormat="1" applyFont="1" applyFill="1" applyBorder="1" applyAlignment="1">
      <alignment horizontal="right" vertical="center"/>
    </xf>
    <xf numFmtId="0" fontId="5" fillId="2" borderId="5" xfId="0" applyFont="1" applyFill="1" applyBorder="1"/>
    <xf numFmtId="166" fontId="10" fillId="2" borderId="5" xfId="1" applyNumberFormat="1" applyFont="1" applyFill="1" applyBorder="1" applyAlignment="1">
      <alignment horizontal="right" vertical="center"/>
    </xf>
    <xf numFmtId="166" fontId="20" fillId="3" borderId="0" xfId="0" applyNumberFormat="1" applyFont="1" applyFill="1" applyAlignment="1">
      <alignment horizontal="right" vertical="center"/>
    </xf>
    <xf numFmtId="0" fontId="21" fillId="2" borderId="0" xfId="0" applyFont="1" applyFill="1"/>
    <xf numFmtId="0" fontId="22" fillId="2" borderId="0" xfId="0" applyFont="1" applyFill="1"/>
    <xf numFmtId="0" fontId="7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165" fontId="4" fillId="2" borderId="0" xfId="1" applyNumberFormat="1" applyFont="1" applyFill="1" applyBorder="1"/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3" xfId="0" applyFont="1" applyFill="1" applyBorder="1"/>
    <xf numFmtId="0" fontId="11" fillId="2" borderId="0" xfId="0" applyFont="1" applyFill="1"/>
    <xf numFmtId="0" fontId="23" fillId="2" borderId="0" xfId="0" applyFont="1" applyFill="1"/>
    <xf numFmtId="0" fontId="10" fillId="2" borderId="6" xfId="0" quotePrefix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/>
    </xf>
    <xf numFmtId="0" fontId="25" fillId="2" borderId="0" xfId="0" applyFont="1" applyFill="1"/>
    <xf numFmtId="0" fontId="26" fillId="2" borderId="1" xfId="0" applyFont="1" applyFill="1" applyBorder="1" applyAlignment="1">
      <alignment horizontal="left" vertical="center" indent="1"/>
    </xf>
    <xf numFmtId="0" fontId="28" fillId="2" borderId="0" xfId="0" applyFont="1" applyFill="1"/>
    <xf numFmtId="0" fontId="10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/>
    <xf numFmtId="165" fontId="10" fillId="2" borderId="0" xfId="0" applyNumberFormat="1" applyFont="1" applyFill="1"/>
    <xf numFmtId="0" fontId="9" fillId="2" borderId="0" xfId="0" applyFont="1" applyFill="1" applyAlignment="1">
      <alignment vertical="center" wrapText="1"/>
    </xf>
    <xf numFmtId="169" fontId="10" fillId="2" borderId="0" xfId="0" applyNumberFormat="1" applyFont="1" applyFill="1"/>
    <xf numFmtId="165" fontId="9" fillId="2" borderId="0" xfId="0" applyNumberFormat="1" applyFont="1" applyFill="1"/>
    <xf numFmtId="0" fontId="10" fillId="2" borderId="6" xfId="0" applyFont="1" applyFill="1" applyBorder="1" applyAlignment="1">
      <alignment horizontal="left" vertical="center"/>
    </xf>
    <xf numFmtId="0" fontId="10" fillId="2" borderId="0" xfId="0" applyFont="1" applyFill="1"/>
    <xf numFmtId="0" fontId="10" fillId="2" borderId="4" xfId="0" applyFont="1" applyFill="1" applyBorder="1"/>
    <xf numFmtId="0" fontId="10" fillId="2" borderId="0" xfId="0" applyFont="1" applyFill="1" applyAlignment="1">
      <alignment horizontal="center" vertical="center"/>
    </xf>
    <xf numFmtId="0" fontId="10" fillId="2" borderId="5" xfId="0" applyFont="1" applyFill="1" applyBorder="1"/>
    <xf numFmtId="0" fontId="10" fillId="2" borderId="8" xfId="0" applyFont="1" applyFill="1" applyBorder="1"/>
    <xf numFmtId="165" fontId="10" fillId="2" borderId="8" xfId="0" applyNumberFormat="1" applyFont="1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indent="1"/>
    </xf>
    <xf numFmtId="0" fontId="27" fillId="2" borderId="0" xfId="0" applyFont="1" applyFill="1" applyAlignment="1">
      <alignment vertical="center"/>
    </xf>
    <xf numFmtId="0" fontId="27" fillId="4" borderId="0" xfId="0" applyFont="1" applyFill="1" applyAlignment="1">
      <alignment horizontal="left" vertical="center" indent="1"/>
    </xf>
    <xf numFmtId="0" fontId="10" fillId="2" borderId="6" xfId="0" applyFont="1" applyFill="1" applyBorder="1"/>
    <xf numFmtId="3" fontId="10" fillId="2" borderId="0" xfId="0" applyNumberFormat="1" applyFont="1" applyFill="1"/>
    <xf numFmtId="165" fontId="28" fillId="2" borderId="0" xfId="0" applyNumberFormat="1" applyFont="1" applyFill="1"/>
    <xf numFmtId="3" fontId="10" fillId="2" borderId="8" xfId="0" applyNumberFormat="1" applyFont="1" applyFill="1" applyBorder="1"/>
    <xf numFmtId="165" fontId="10" fillId="2" borderId="10" xfId="0" applyNumberFormat="1" applyFont="1" applyFill="1" applyBorder="1"/>
    <xf numFmtId="165" fontId="10" fillId="2" borderId="4" xfId="0" applyNumberFormat="1" applyFont="1" applyFill="1" applyBorder="1"/>
    <xf numFmtId="0" fontId="10" fillId="2" borderId="3" xfId="0" applyFont="1" applyFill="1" applyBorder="1"/>
    <xf numFmtId="0" fontId="10" fillId="2" borderId="4" xfId="0" applyFont="1" applyFill="1" applyBorder="1" applyAlignment="1">
      <alignment horizontal="left" indent="1"/>
    </xf>
    <xf numFmtId="165" fontId="10" fillId="2" borderId="5" xfId="0" applyNumberFormat="1" applyFont="1" applyFill="1" applyBorder="1" applyAlignment="1">
      <alignment horizontal="right"/>
    </xf>
    <xf numFmtId="170" fontId="10" fillId="2" borderId="8" xfId="0" applyNumberFormat="1" applyFont="1" applyFill="1" applyBorder="1"/>
    <xf numFmtId="0" fontId="10" fillId="2" borderId="11" xfId="0" applyFont="1" applyFill="1" applyBorder="1"/>
    <xf numFmtId="165" fontId="9" fillId="2" borderId="5" xfId="0" applyNumberFormat="1" applyFont="1" applyFill="1" applyBorder="1"/>
    <xf numFmtId="165" fontId="10" fillId="2" borderId="5" xfId="0" applyNumberFormat="1" applyFont="1" applyFill="1" applyBorder="1"/>
    <xf numFmtId="0" fontId="28" fillId="2" borderId="5" xfId="0" applyFont="1" applyFill="1" applyBorder="1"/>
    <xf numFmtId="0" fontId="27" fillId="2" borderId="1" xfId="0" applyFont="1" applyFill="1" applyBorder="1" applyAlignment="1">
      <alignment vertical="center"/>
    </xf>
    <xf numFmtId="171" fontId="28" fillId="2" borderId="0" xfId="0" applyNumberFormat="1" applyFont="1" applyFill="1"/>
    <xf numFmtId="171" fontId="10" fillId="2" borderId="0" xfId="0" applyNumberFormat="1" applyFont="1" applyFill="1" applyAlignment="1" applyProtection="1">
      <alignment horizontal="right" vertical="center"/>
      <protection locked="0"/>
    </xf>
    <xf numFmtId="0" fontId="28" fillId="0" borderId="0" xfId="0" applyFont="1"/>
    <xf numFmtId="171" fontId="10" fillId="2" borderId="10" xfId="0" applyNumberFormat="1" applyFont="1" applyFill="1" applyBorder="1" applyAlignment="1" applyProtection="1">
      <alignment horizontal="right" vertical="center"/>
      <protection locked="0"/>
    </xf>
    <xf numFmtId="170" fontId="10" fillId="2" borderId="8" xfId="0" applyNumberFormat="1" applyFont="1" applyFill="1" applyBorder="1" applyAlignment="1" applyProtection="1">
      <alignment horizontal="right" vertical="center"/>
      <protection locked="0"/>
    </xf>
    <xf numFmtId="0" fontId="31" fillId="2" borderId="0" xfId="0" applyFont="1" applyFill="1"/>
    <xf numFmtId="0" fontId="31" fillId="4" borderId="1" xfId="0" applyFont="1" applyFill="1" applyBorder="1"/>
    <xf numFmtId="171" fontId="10" fillId="2" borderId="8" xfId="0" applyNumberFormat="1" applyFont="1" applyFill="1" applyBorder="1" applyAlignment="1" applyProtection="1">
      <alignment horizontal="right" vertical="center"/>
      <protection locked="0"/>
    </xf>
    <xf numFmtId="171" fontId="10" fillId="2" borderId="12" xfId="0" applyNumberFormat="1" applyFont="1" applyFill="1" applyBorder="1" applyAlignment="1" applyProtection="1">
      <alignment horizontal="right" vertical="center"/>
      <protection locked="0"/>
    </xf>
    <xf numFmtId="171" fontId="15" fillId="2" borderId="0" xfId="0" applyNumberFormat="1" applyFont="1" applyFill="1"/>
    <xf numFmtId="171" fontId="15" fillId="2" borderId="8" xfId="0" applyNumberFormat="1" applyFont="1" applyFill="1" applyBorder="1"/>
    <xf numFmtId="171" fontId="10" fillId="2" borderId="13" xfId="0" applyNumberFormat="1" applyFont="1" applyFill="1" applyBorder="1" applyAlignment="1" applyProtection="1">
      <alignment horizontal="right" vertical="center"/>
      <protection locked="0"/>
    </xf>
    <xf numFmtId="165" fontId="31" fillId="2" borderId="0" xfId="0" applyNumberFormat="1" applyFont="1" applyFill="1"/>
    <xf numFmtId="0" fontId="10" fillId="0" borderId="0" xfId="0" applyFont="1"/>
    <xf numFmtId="165" fontId="10" fillId="2" borderId="5" xfId="0" applyNumberFormat="1" applyFont="1" applyFill="1" applyBorder="1" applyAlignment="1">
      <alignment horizontal="right" vertical="top"/>
    </xf>
    <xf numFmtId="172" fontId="10" fillId="2" borderId="8" xfId="0" applyNumberFormat="1" applyFont="1" applyFill="1" applyBorder="1" applyAlignment="1">
      <alignment horizontal="right" vertical="top"/>
    </xf>
    <xf numFmtId="170" fontId="28" fillId="2" borderId="0" xfId="0" applyNumberFormat="1" applyFont="1" applyFill="1"/>
    <xf numFmtId="0" fontId="24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33" fillId="2" borderId="0" xfId="0" applyFont="1" applyFill="1" applyAlignment="1">
      <alignment vertical="center" wrapText="1"/>
    </xf>
    <xf numFmtId="0" fontId="33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vertical="center" wrapText="1"/>
    </xf>
    <xf numFmtId="0" fontId="33" fillId="2" borderId="0" xfId="0" quotePrefix="1" applyFont="1" applyFill="1" applyAlignment="1">
      <alignment horizontal="left" vertical="center" wrapText="1"/>
    </xf>
    <xf numFmtId="0" fontId="24" fillId="2" borderId="0" xfId="0" applyFont="1" applyFill="1" applyAlignment="1">
      <alignment horizontal="center" vertical="center" wrapText="1"/>
    </xf>
    <xf numFmtId="0" fontId="28" fillId="6" borderId="0" xfId="0" applyFont="1" applyFill="1"/>
    <xf numFmtId="0" fontId="28" fillId="7" borderId="0" xfId="0" applyFont="1" applyFill="1"/>
    <xf numFmtId="0" fontId="28" fillId="2" borderId="4" xfId="0" applyFont="1" applyFill="1" applyBorder="1"/>
    <xf numFmtId="165" fontId="34" fillId="2" borderId="0" xfId="0" applyNumberFormat="1" applyFont="1" applyFill="1"/>
    <xf numFmtId="165" fontId="28" fillId="2" borderId="5" xfId="0" applyNumberFormat="1" applyFont="1" applyFill="1" applyBorder="1"/>
    <xf numFmtId="165" fontId="9" fillId="2" borderId="4" xfId="0" applyNumberFormat="1" applyFont="1" applyFill="1" applyBorder="1"/>
    <xf numFmtId="0" fontId="5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37" fillId="2" borderId="0" xfId="0" applyFont="1" applyFill="1" applyAlignment="1">
      <alignment horizontal="center" vertical="center" wrapText="1"/>
    </xf>
    <xf numFmtId="4" fontId="38" fillId="2" borderId="4" xfId="0" applyNumberFormat="1" applyFont="1" applyFill="1" applyBorder="1"/>
    <xf numFmtId="2" fontId="38" fillId="2" borderId="0" xfId="0" applyNumberFormat="1" applyFont="1" applyFill="1"/>
    <xf numFmtId="2" fontId="38" fillId="2" borderId="3" xfId="0" applyNumberFormat="1" applyFont="1" applyFill="1" applyBorder="1"/>
    <xf numFmtId="4" fontId="38" fillId="2" borderId="0" xfId="0" applyNumberFormat="1" applyFont="1" applyFill="1"/>
    <xf numFmtId="165" fontId="38" fillId="2" borderId="3" xfId="1" applyNumberFormat="1" applyFont="1" applyFill="1" applyBorder="1"/>
    <xf numFmtId="165" fontId="38" fillId="2" borderId="0" xfId="1" applyNumberFormat="1" applyFont="1" applyFill="1" applyBorder="1"/>
    <xf numFmtId="165" fontId="38" fillId="2" borderId="4" xfId="1" applyNumberFormat="1" applyFont="1" applyFill="1" applyBorder="1"/>
    <xf numFmtId="0" fontId="0" fillId="2" borderId="0" xfId="0" applyFill="1" applyAlignment="1">
      <alignment horizontal="right"/>
    </xf>
    <xf numFmtId="165" fontId="4" fillId="2" borderId="0" xfId="1" applyNumberFormat="1" applyFont="1" applyFill="1" applyBorder="1" applyAlignment="1">
      <alignment horizontal="right"/>
    </xf>
    <xf numFmtId="166" fontId="0" fillId="2" borderId="0" xfId="0" applyNumberFormat="1" applyFill="1"/>
    <xf numFmtId="0" fontId="6" fillId="2" borderId="0" xfId="0" quotePrefix="1" applyFont="1" applyFill="1" applyAlignment="1">
      <alignment horizontal="left" vertical="center" wrapText="1"/>
    </xf>
    <xf numFmtId="0" fontId="40" fillId="2" borderId="0" xfId="0" applyFont="1" applyFill="1" applyAlignment="1">
      <alignment vertical="center"/>
    </xf>
    <xf numFmtId="0" fontId="39" fillId="2" borderId="2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left" vertical="center" indent="1"/>
    </xf>
    <xf numFmtId="0" fontId="43" fillId="2" borderId="0" xfId="0" applyFont="1" applyFill="1" applyAlignment="1">
      <alignment vertical="center"/>
    </xf>
    <xf numFmtId="0" fontId="43" fillId="2" borderId="1" xfId="0" applyFont="1" applyFill="1" applyBorder="1" applyAlignment="1">
      <alignment vertical="center"/>
    </xf>
    <xf numFmtId="165" fontId="39" fillId="2" borderId="0" xfId="1" applyNumberFormat="1" applyFont="1" applyFill="1" applyBorder="1"/>
    <xf numFmtId="0" fontId="40" fillId="2" borderId="0" xfId="0" applyFont="1" applyFill="1"/>
    <xf numFmtId="0" fontId="39" fillId="2" borderId="0" xfId="0" applyFont="1" applyFill="1" applyAlignment="1">
      <alignment horizontal="left" vertical="center"/>
    </xf>
    <xf numFmtId="0" fontId="39" fillId="2" borderId="6" xfId="0" applyFont="1" applyFill="1" applyBorder="1" applyAlignment="1">
      <alignment horizontal="left" vertical="center"/>
    </xf>
    <xf numFmtId="0" fontId="39" fillId="2" borderId="6" xfId="0" applyFont="1" applyFill="1" applyBorder="1" applyAlignment="1">
      <alignment horizontal="center" vertical="center" wrapText="1"/>
    </xf>
    <xf numFmtId="165" fontId="41" fillId="2" borderId="3" xfId="1" applyNumberFormat="1" applyFont="1" applyFill="1" applyBorder="1"/>
    <xf numFmtId="165" fontId="39" fillId="2" borderId="3" xfId="1" applyNumberFormat="1" applyFont="1" applyFill="1" applyBorder="1"/>
    <xf numFmtId="0" fontId="39" fillId="2" borderId="0" xfId="0" applyFont="1" applyFill="1"/>
    <xf numFmtId="0" fontId="39" fillId="2" borderId="3" xfId="0" applyFont="1" applyFill="1" applyBorder="1"/>
    <xf numFmtId="3" fontId="39" fillId="2" borderId="3" xfId="0" applyNumberFormat="1" applyFont="1" applyFill="1" applyBorder="1"/>
    <xf numFmtId="165" fontId="41" fillId="2" borderId="0" xfId="1" applyNumberFormat="1" applyFont="1" applyFill="1" applyBorder="1"/>
    <xf numFmtId="3" fontId="39" fillId="2" borderId="0" xfId="0" applyNumberFormat="1" applyFont="1" applyFill="1"/>
    <xf numFmtId="0" fontId="44" fillId="2" borderId="0" xfId="0" applyFont="1" applyFill="1"/>
    <xf numFmtId="165" fontId="41" fillId="2" borderId="4" xfId="1" applyNumberFormat="1" applyFont="1" applyFill="1" applyBorder="1"/>
    <xf numFmtId="165" fontId="39" fillId="2" borderId="4" xfId="1" applyNumberFormat="1" applyFont="1" applyFill="1" applyBorder="1"/>
    <xf numFmtId="0" fontId="41" fillId="2" borderId="0" xfId="0" applyFont="1" applyFill="1"/>
    <xf numFmtId="0" fontId="45" fillId="2" borderId="0" xfId="0" applyFont="1" applyFill="1"/>
    <xf numFmtId="0" fontId="39" fillId="2" borderId="4" xfId="0" applyFont="1" applyFill="1" applyBorder="1"/>
    <xf numFmtId="3" fontId="39" fillId="2" borderId="4" xfId="0" applyNumberFormat="1" applyFont="1" applyFill="1" applyBorder="1"/>
    <xf numFmtId="165" fontId="39" fillId="2" borderId="1" xfId="1" applyNumberFormat="1" applyFont="1" applyFill="1" applyBorder="1"/>
    <xf numFmtId="165" fontId="39" fillId="2" borderId="6" xfId="1" applyNumberFormat="1" applyFont="1" applyFill="1" applyBorder="1" applyAlignment="1">
      <alignment vertical="center"/>
    </xf>
    <xf numFmtId="0" fontId="39" fillId="2" borderId="7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vertical="center"/>
    </xf>
    <xf numFmtId="0" fontId="39" fillId="2" borderId="0" xfId="0" applyFont="1" applyFill="1" applyAlignment="1">
      <alignment horizontal="center" vertical="center" wrapText="1"/>
    </xf>
    <xf numFmtId="165" fontId="39" fillId="2" borderId="0" xfId="1" applyNumberFormat="1" applyFont="1" applyFill="1"/>
    <xf numFmtId="165" fontId="39" fillId="2" borderId="8" xfId="1" applyNumberFormat="1" applyFont="1" applyFill="1" applyBorder="1"/>
    <xf numFmtId="0" fontId="40" fillId="2" borderId="0" xfId="0" applyFont="1" applyFill="1" applyAlignment="1">
      <alignment horizontal="right"/>
    </xf>
    <xf numFmtId="165" fontId="39" fillId="2" borderId="0" xfId="1" applyNumberFormat="1" applyFont="1" applyFill="1" applyBorder="1" applyAlignment="1">
      <alignment horizontal="right"/>
    </xf>
    <xf numFmtId="165" fontId="39" fillId="2" borderId="8" xfId="1" applyNumberFormat="1" applyFont="1" applyFill="1" applyBorder="1" applyAlignment="1">
      <alignment horizontal="right"/>
    </xf>
    <xf numFmtId="3" fontId="39" fillId="2" borderId="0" xfId="1" applyNumberFormat="1" applyFont="1" applyFill="1" applyBorder="1"/>
    <xf numFmtId="0" fontId="41" fillId="2" borderId="0" xfId="0" applyFont="1" applyFill="1" applyAlignment="1">
      <alignment horizontal="center" vertical="center" wrapText="1"/>
    </xf>
    <xf numFmtId="3" fontId="41" fillId="2" borderId="3" xfId="1" applyNumberFormat="1" applyFont="1" applyFill="1" applyBorder="1"/>
    <xf numFmtId="3" fontId="39" fillId="2" borderId="3" xfId="1" applyNumberFormat="1" applyFont="1" applyFill="1" applyBorder="1"/>
    <xf numFmtId="0" fontId="39" fillId="2" borderId="0" xfId="0" applyFont="1" applyFill="1" applyAlignment="1">
      <alignment horizontal="center" vertical="center"/>
    </xf>
    <xf numFmtId="3" fontId="41" fillId="2" borderId="0" xfId="1" applyNumberFormat="1" applyFont="1" applyFill="1" applyBorder="1"/>
    <xf numFmtId="3" fontId="41" fillId="2" borderId="0" xfId="0" applyNumberFormat="1" applyFont="1" applyFill="1"/>
    <xf numFmtId="165" fontId="39" fillId="2" borderId="0" xfId="0" applyNumberFormat="1" applyFont="1" applyFill="1"/>
    <xf numFmtId="165" fontId="41" fillId="2" borderId="0" xfId="0" applyNumberFormat="1" applyFont="1" applyFill="1"/>
    <xf numFmtId="4" fontId="39" fillId="2" borderId="0" xfId="0" applyNumberFormat="1" applyFont="1" applyFill="1"/>
    <xf numFmtId="4" fontId="41" fillId="2" borderId="4" xfId="0" applyNumberFormat="1" applyFont="1" applyFill="1" applyBorder="1"/>
    <xf numFmtId="166" fontId="39" fillId="2" borderId="0" xfId="1" applyNumberFormat="1" applyFont="1" applyFill="1" applyBorder="1"/>
    <xf numFmtId="4" fontId="39" fillId="2" borderId="4" xfId="0" applyNumberFormat="1" applyFont="1" applyFill="1" applyBorder="1"/>
    <xf numFmtId="4" fontId="41" fillId="2" borderId="0" xfId="0" applyNumberFormat="1" applyFont="1" applyFill="1"/>
    <xf numFmtId="166" fontId="39" fillId="2" borderId="0" xfId="1" applyNumberFormat="1" applyFont="1" applyFill="1"/>
    <xf numFmtId="4" fontId="39" fillId="2" borderId="0" xfId="1" applyNumberFormat="1" applyFont="1" applyFill="1" applyBorder="1"/>
    <xf numFmtId="167" fontId="39" fillId="2" borderId="0" xfId="0" applyNumberFormat="1" applyFont="1" applyFill="1"/>
    <xf numFmtId="3" fontId="39" fillId="2" borderId="0" xfId="0" applyNumberFormat="1" applyFont="1" applyFill="1" applyAlignment="1">
      <alignment horizontal="right"/>
    </xf>
    <xf numFmtId="0" fontId="39" fillId="2" borderId="5" xfId="0" applyFont="1" applyFill="1" applyBorder="1" applyAlignment="1">
      <alignment horizontal="center" vertical="center" wrapText="1"/>
    </xf>
    <xf numFmtId="2" fontId="39" fillId="2" borderId="0" xfId="0" applyNumberFormat="1" applyFont="1" applyFill="1"/>
    <xf numFmtId="2" fontId="41" fillId="2" borderId="3" xfId="0" applyNumberFormat="1" applyFont="1" applyFill="1" applyBorder="1"/>
    <xf numFmtId="2" fontId="39" fillId="2" borderId="3" xfId="0" applyNumberFormat="1" applyFont="1" applyFill="1" applyBorder="1"/>
    <xf numFmtId="2" fontId="41" fillId="2" borderId="0" xfId="0" applyNumberFormat="1" applyFont="1" applyFill="1"/>
    <xf numFmtId="166" fontId="9" fillId="0" borderId="3" xfId="1" applyNumberFormat="1" applyFont="1" applyFill="1" applyBorder="1" applyAlignment="1">
      <alignment horizontal="right" vertical="center"/>
    </xf>
    <xf numFmtId="0" fontId="47" fillId="0" borderId="0" xfId="0" applyFont="1" applyAlignment="1">
      <alignment vertical="center"/>
    </xf>
    <xf numFmtId="0" fontId="0" fillId="0" borderId="0" xfId="0" applyAlignment="1">
      <alignment horizontal="center"/>
    </xf>
    <xf numFmtId="4" fontId="37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4" fontId="37" fillId="2" borderId="0" xfId="0" applyNumberFormat="1" applyFont="1" applyFill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0" fontId="46" fillId="0" borderId="0" xfId="0" applyFont="1"/>
    <xf numFmtId="2" fontId="0" fillId="0" borderId="0" xfId="0" applyNumberFormat="1" applyAlignment="1">
      <alignment horizontal="center"/>
    </xf>
    <xf numFmtId="2" fontId="47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12" fillId="2" borderId="0" xfId="0" applyFont="1" applyFill="1"/>
    <xf numFmtId="0" fontId="5" fillId="2" borderId="3" xfId="0" applyFont="1" applyFill="1" applyBorder="1" applyAlignment="1">
      <alignment wrapText="1"/>
    </xf>
    <xf numFmtId="0" fontId="50" fillId="0" borderId="0" xfId="0" applyFont="1"/>
    <xf numFmtId="0" fontId="51" fillId="0" borderId="17" xfId="0" applyFont="1" applyBorder="1" applyAlignment="1">
      <alignment horizontal="left" vertical="center" wrapText="1"/>
    </xf>
    <xf numFmtId="0" fontId="51" fillId="0" borderId="17" xfId="0" applyFont="1" applyBorder="1" applyAlignment="1">
      <alignment horizontal="center" vertical="center" wrapText="1"/>
    </xf>
    <xf numFmtId="2" fontId="52" fillId="0" borderId="17" xfId="0" applyNumberFormat="1" applyFont="1" applyBorder="1" applyAlignment="1">
      <alignment horizontal="center" vertical="center" wrapText="1"/>
    </xf>
    <xf numFmtId="0" fontId="51" fillId="0" borderId="18" xfId="0" applyFont="1" applyBorder="1" applyAlignment="1">
      <alignment horizontal="left" vertical="center" wrapText="1"/>
    </xf>
    <xf numFmtId="0" fontId="51" fillId="0" borderId="18" xfId="0" applyFont="1" applyBorder="1" applyAlignment="1">
      <alignment horizontal="center" vertical="center" wrapText="1"/>
    </xf>
    <xf numFmtId="2" fontId="52" fillId="0" borderId="18" xfId="0" applyNumberFormat="1" applyFont="1" applyBorder="1" applyAlignment="1">
      <alignment horizontal="center" vertical="center" wrapText="1"/>
    </xf>
    <xf numFmtId="0" fontId="53" fillId="0" borderId="19" xfId="0" applyFont="1" applyBorder="1" applyAlignment="1">
      <alignment horizontal="left" vertical="center" wrapText="1" indent="2"/>
    </xf>
    <xf numFmtId="0" fontId="53" fillId="0" borderId="19" xfId="0" applyFont="1" applyBorder="1" applyAlignment="1">
      <alignment horizontal="center" vertical="center" wrapText="1"/>
    </xf>
    <xf numFmtId="2" fontId="54" fillId="0" borderId="21" xfId="0" applyNumberFormat="1" applyFont="1" applyBorder="1" applyAlignment="1">
      <alignment horizontal="center" vertical="center" wrapText="1"/>
    </xf>
    <xf numFmtId="2" fontId="55" fillId="0" borderId="21" xfId="0" applyNumberFormat="1" applyFont="1" applyBorder="1" applyAlignment="1">
      <alignment horizontal="center" vertical="center" wrapText="1"/>
    </xf>
    <xf numFmtId="0" fontId="53" fillId="0" borderId="20" xfId="0" applyFont="1" applyBorder="1" applyAlignment="1">
      <alignment horizontal="left" vertical="center" wrapText="1" indent="2"/>
    </xf>
    <xf numFmtId="0" fontId="53" fillId="0" borderId="20" xfId="0" applyFont="1" applyBorder="1" applyAlignment="1">
      <alignment horizontal="center" vertical="center" wrapText="1"/>
    </xf>
    <xf numFmtId="2" fontId="54" fillId="0" borderId="22" xfId="0" applyNumberFormat="1" applyFont="1" applyBorder="1" applyAlignment="1">
      <alignment horizontal="center" vertical="center" wrapText="1"/>
    </xf>
    <xf numFmtId="2" fontId="55" fillId="0" borderId="22" xfId="0" applyNumberFormat="1" applyFont="1" applyBorder="1" applyAlignment="1">
      <alignment horizontal="center" vertical="center" wrapText="1"/>
    </xf>
    <xf numFmtId="3" fontId="52" fillId="0" borderId="17" xfId="0" applyNumberFormat="1" applyFont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2" fillId="0" borderId="18" xfId="0" applyNumberFormat="1" applyFont="1" applyBorder="1" applyAlignment="1">
      <alignment horizontal="center" vertical="center" wrapText="1"/>
    </xf>
    <xf numFmtId="0" fontId="57" fillId="0" borderId="19" xfId="0" applyFont="1" applyBorder="1" applyAlignment="1">
      <alignment horizontal="left" vertical="center" wrapText="1" indent="2"/>
    </xf>
    <xf numFmtId="4" fontId="56" fillId="0" borderId="19" xfId="0" applyNumberFormat="1" applyFont="1" applyBorder="1" applyAlignment="1">
      <alignment horizontal="center" vertical="center" wrapText="1"/>
    </xf>
    <xf numFmtId="0" fontId="57" fillId="0" borderId="20" xfId="0" applyFont="1" applyBorder="1" applyAlignment="1">
      <alignment horizontal="left" vertical="center" wrapText="1" indent="2"/>
    </xf>
    <xf numFmtId="4" fontId="56" fillId="0" borderId="20" xfId="0" applyNumberFormat="1" applyFont="1" applyBorder="1" applyAlignment="1">
      <alignment horizontal="center" vertical="center" wrapText="1"/>
    </xf>
    <xf numFmtId="2" fontId="37" fillId="2" borderId="0" xfId="0" applyNumberFormat="1" applyFont="1" applyFill="1" applyAlignment="1">
      <alignment horizontal="center" vertical="center"/>
    </xf>
    <xf numFmtId="170" fontId="10" fillId="2" borderId="0" xfId="0" applyNumberFormat="1" applyFont="1" applyFill="1" applyAlignment="1" applyProtection="1">
      <alignment horizontal="left" vertical="center" wrapText="1"/>
      <protection locked="0"/>
    </xf>
    <xf numFmtId="170" fontId="9" fillId="2" borderId="0" xfId="0" applyNumberFormat="1" applyFont="1" applyFill="1" applyAlignment="1" applyProtection="1">
      <alignment vertical="center" wrapText="1"/>
      <protection locked="0"/>
    </xf>
    <xf numFmtId="0" fontId="9" fillId="2" borderId="5" xfId="0" applyFont="1" applyFill="1" applyBorder="1" applyAlignment="1">
      <alignment wrapText="1"/>
    </xf>
    <xf numFmtId="171" fontId="9" fillId="2" borderId="0" xfId="0" applyNumberFormat="1" applyFont="1" applyFill="1" applyAlignment="1" applyProtection="1">
      <alignment horizontal="left" vertical="center" wrapText="1"/>
      <protection locked="0"/>
    </xf>
    <xf numFmtId="171" fontId="9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26" fillId="2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9" fillId="10" borderId="0" xfId="0" applyFont="1" applyFill="1" applyAlignment="1">
      <alignment horizontal="left" vertical="center" wrapText="1"/>
    </xf>
    <xf numFmtId="0" fontId="9" fillId="10" borderId="9" xfId="0" applyFont="1" applyFill="1" applyBorder="1" applyAlignment="1">
      <alignment horizontal="left" vertical="center" wrapText="1"/>
    </xf>
    <xf numFmtId="171" fontId="9" fillId="10" borderId="9" xfId="0" applyNumberFormat="1" applyFont="1" applyFill="1" applyBorder="1" applyAlignment="1" applyProtection="1">
      <alignment horizontal="left" vertical="center" wrapText="1"/>
      <protection locked="0"/>
    </xf>
    <xf numFmtId="0" fontId="24" fillId="10" borderId="14" xfId="0" applyFont="1" applyFill="1" applyBorder="1" applyAlignment="1" applyProtection="1">
      <alignment vertical="center" wrapText="1"/>
      <protection locked="0"/>
    </xf>
    <xf numFmtId="168" fontId="24" fillId="10" borderId="14" xfId="0" applyNumberFormat="1" applyFont="1" applyFill="1" applyBorder="1" applyAlignment="1" applyProtection="1">
      <alignment horizontal="right" vertical="center"/>
      <protection locked="0"/>
    </xf>
    <xf numFmtId="0" fontId="37" fillId="10" borderId="14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horizontal="left" wrapText="1" indent="1"/>
    </xf>
    <xf numFmtId="0" fontId="10" fillId="2" borderId="4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wrapText="1"/>
    </xf>
    <xf numFmtId="0" fontId="10" fillId="2" borderId="4" xfId="0" applyFont="1" applyFill="1" applyBorder="1" applyAlignment="1">
      <alignment horizontal="left" wrapText="1" indent="1"/>
    </xf>
    <xf numFmtId="0" fontId="10" fillId="2" borderId="0" xfId="0" applyFont="1" applyFill="1" applyAlignment="1">
      <alignment vertical="center" wrapText="1"/>
    </xf>
    <xf numFmtId="0" fontId="32" fillId="2" borderId="5" xfId="0" applyFont="1" applyFill="1" applyBorder="1" applyAlignment="1">
      <alignment vertical="center" wrapText="1"/>
    </xf>
    <xf numFmtId="0" fontId="28" fillId="2" borderId="0" xfId="0" applyFont="1" applyFill="1" applyAlignment="1">
      <alignment wrapText="1"/>
    </xf>
    <xf numFmtId="0" fontId="58" fillId="2" borderId="0" xfId="0" applyFont="1" applyFill="1" applyAlignment="1">
      <alignment horizontal="center" vertical="center"/>
    </xf>
    <xf numFmtId="2" fontId="56" fillId="0" borderId="19" xfId="0" applyNumberFormat="1" applyFont="1" applyBorder="1" applyAlignment="1">
      <alignment horizontal="center" vertical="center" wrapText="1"/>
    </xf>
    <xf numFmtId="2" fontId="56" fillId="0" borderId="20" xfId="0" applyNumberFormat="1" applyFont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2" fontId="51" fillId="0" borderId="23" xfId="0" applyNumberFormat="1" applyFont="1" applyBorder="1" applyAlignment="1">
      <alignment horizontal="center" vertical="center" wrapText="1"/>
    </xf>
    <xf numFmtId="2" fontId="51" fillId="0" borderId="24" xfId="0" applyNumberFormat="1" applyFont="1" applyBorder="1" applyAlignment="1">
      <alignment horizontal="center" vertical="center" wrapText="1"/>
    </xf>
    <xf numFmtId="2" fontId="51" fillId="0" borderId="26" xfId="0" applyNumberFormat="1" applyFont="1" applyBorder="1" applyAlignment="1">
      <alignment horizontal="center" vertical="center" wrapText="1"/>
    </xf>
    <xf numFmtId="2" fontId="51" fillId="0" borderId="27" xfId="0" applyNumberFormat="1" applyFont="1" applyBorder="1" applyAlignment="1">
      <alignment horizontal="center" vertical="center" wrapText="1"/>
    </xf>
    <xf numFmtId="2" fontId="51" fillId="0" borderId="25" xfId="0" applyNumberFormat="1" applyFont="1" applyBorder="1" applyAlignment="1">
      <alignment horizontal="center" vertical="center" wrapText="1"/>
    </xf>
    <xf numFmtId="2" fontId="51" fillId="0" borderId="28" xfId="0" applyNumberFormat="1" applyFont="1" applyBorder="1" applyAlignment="1">
      <alignment horizontal="center" vertical="center" wrapText="1"/>
    </xf>
    <xf numFmtId="2" fontId="53" fillId="0" borderId="29" xfId="0" applyNumberFormat="1" applyFont="1" applyBorder="1" applyAlignment="1">
      <alignment horizontal="center" vertical="center" wrapText="1"/>
    </xf>
    <xf numFmtId="2" fontId="53" fillId="0" borderId="30" xfId="0" applyNumberFormat="1" applyFont="1" applyBorder="1" applyAlignment="1">
      <alignment horizontal="center" vertical="center" wrapText="1"/>
    </xf>
    <xf numFmtId="2" fontId="53" fillId="0" borderId="31" xfId="0" applyNumberFormat="1" applyFont="1" applyBorder="1" applyAlignment="1">
      <alignment horizontal="center" vertical="center" wrapText="1"/>
    </xf>
    <xf numFmtId="2" fontId="53" fillId="0" borderId="32" xfId="0" applyNumberFormat="1" applyFont="1" applyBorder="1" applyAlignment="1">
      <alignment horizontal="center" vertical="center" wrapText="1"/>
    </xf>
    <xf numFmtId="2" fontId="53" fillId="0" borderId="33" xfId="0" applyNumberFormat="1" applyFont="1" applyBorder="1" applyAlignment="1">
      <alignment horizontal="center" vertical="center" wrapText="1"/>
    </xf>
    <xf numFmtId="2" fontId="53" fillId="0" borderId="34" xfId="0" applyNumberFormat="1" applyFont="1" applyBorder="1" applyAlignment="1">
      <alignment horizontal="center" vertical="center" wrapText="1"/>
    </xf>
    <xf numFmtId="1" fontId="51" fillId="0" borderId="24" xfId="0" applyNumberFormat="1" applyFont="1" applyBorder="1" applyAlignment="1">
      <alignment horizontal="center" vertical="center" wrapText="1"/>
    </xf>
    <xf numFmtId="1" fontId="51" fillId="0" borderId="26" xfId="0" applyNumberFormat="1" applyFont="1" applyBorder="1" applyAlignment="1">
      <alignment horizontal="center" vertical="center" wrapText="1"/>
    </xf>
    <xf numFmtId="2" fontId="53" fillId="2" borderId="31" xfId="0" applyNumberFormat="1" applyFont="1" applyFill="1" applyBorder="1" applyAlignment="1">
      <alignment horizontal="center" vertical="center" wrapText="1"/>
    </xf>
    <xf numFmtId="2" fontId="53" fillId="2" borderId="34" xfId="0" applyNumberFormat="1" applyFont="1" applyFill="1" applyBorder="1" applyAlignment="1">
      <alignment horizontal="center" vertical="center" wrapText="1"/>
    </xf>
    <xf numFmtId="4" fontId="51" fillId="0" borderId="27" xfId="0" applyNumberFormat="1" applyFont="1" applyBorder="1" applyAlignment="1">
      <alignment horizontal="center" vertical="center" wrapText="1"/>
    </xf>
    <xf numFmtId="4" fontId="51" fillId="0" borderId="25" xfId="0" applyNumberFormat="1" applyFont="1" applyBorder="1" applyAlignment="1">
      <alignment horizontal="center" vertical="center" wrapText="1"/>
    </xf>
    <xf numFmtId="4" fontId="53" fillId="0" borderId="29" xfId="0" applyNumberFormat="1" applyFont="1" applyBorder="1" applyAlignment="1">
      <alignment horizontal="center" vertical="center" wrapText="1"/>
    </xf>
    <xf numFmtId="4" fontId="53" fillId="0" borderId="30" xfId="0" applyNumberFormat="1" applyFont="1" applyBorder="1" applyAlignment="1">
      <alignment horizontal="center" vertical="center" wrapText="1"/>
    </xf>
    <xf numFmtId="4" fontId="53" fillId="0" borderId="32" xfId="0" applyNumberFormat="1" applyFont="1" applyBorder="1" applyAlignment="1">
      <alignment horizontal="center" vertical="center" wrapText="1"/>
    </xf>
    <xf numFmtId="4" fontId="53" fillId="0" borderId="33" xfId="0" applyNumberFormat="1" applyFont="1" applyBorder="1" applyAlignment="1">
      <alignment horizontal="center" vertical="center" wrapText="1"/>
    </xf>
    <xf numFmtId="3" fontId="51" fillId="0" borderId="23" xfId="0" applyNumberFormat="1" applyFont="1" applyBorder="1" applyAlignment="1">
      <alignment horizontal="center" vertical="center" wrapText="1"/>
    </xf>
    <xf numFmtId="3" fontId="51" fillId="0" borderId="24" xfId="0" applyNumberFormat="1" applyFont="1" applyBorder="1" applyAlignment="1">
      <alignment horizontal="center" vertical="center" wrapText="1"/>
    </xf>
    <xf numFmtId="3" fontId="51" fillId="0" borderId="26" xfId="0" applyNumberFormat="1" applyFont="1" applyBorder="1" applyAlignment="1">
      <alignment horizontal="center" vertical="center" wrapText="1"/>
    </xf>
    <xf numFmtId="4" fontId="51" fillId="0" borderId="28" xfId="0" applyNumberFormat="1" applyFont="1" applyBorder="1" applyAlignment="1">
      <alignment horizontal="center" vertical="center" wrapText="1"/>
    </xf>
    <xf numFmtId="4" fontId="53" fillId="0" borderId="31" xfId="0" applyNumberFormat="1" applyFont="1" applyBorder="1" applyAlignment="1">
      <alignment horizontal="center" vertical="center" wrapText="1"/>
    </xf>
    <xf numFmtId="4" fontId="53" fillId="0" borderId="34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9" fillId="8" borderId="35" xfId="0" applyFont="1" applyFill="1" applyBorder="1" applyAlignment="1">
      <alignment horizontal="center" vertical="center" wrapText="1"/>
    </xf>
    <xf numFmtId="2" fontId="51" fillId="0" borderId="35" xfId="0" applyNumberFormat="1" applyFont="1" applyBorder="1" applyAlignment="1">
      <alignment horizontal="center" vertical="center" wrapText="1"/>
    </xf>
    <xf numFmtId="2" fontId="51" fillId="0" borderId="36" xfId="0" applyNumberFormat="1" applyFont="1" applyBorder="1" applyAlignment="1">
      <alignment horizontal="center" vertical="center" wrapText="1"/>
    </xf>
    <xf numFmtId="2" fontId="53" fillId="0" borderId="37" xfId="0" applyNumberFormat="1" applyFont="1" applyBorder="1" applyAlignment="1">
      <alignment horizontal="center" vertical="center" wrapText="1"/>
    </xf>
    <xf numFmtId="2" fontId="53" fillId="0" borderId="38" xfId="0" applyNumberFormat="1" applyFont="1" applyBorder="1" applyAlignment="1">
      <alignment horizontal="center" vertical="center" wrapText="1"/>
    </xf>
    <xf numFmtId="3" fontId="51" fillId="0" borderId="35" xfId="0" applyNumberFormat="1" applyFont="1" applyBorder="1" applyAlignment="1">
      <alignment horizontal="center" vertical="center" wrapText="1"/>
    </xf>
    <xf numFmtId="4" fontId="51" fillId="0" borderId="36" xfId="0" applyNumberFormat="1" applyFont="1" applyBorder="1" applyAlignment="1">
      <alignment horizontal="center" vertical="center" wrapText="1"/>
    </xf>
    <xf numFmtId="4" fontId="53" fillId="0" borderId="37" xfId="0" applyNumberFormat="1" applyFont="1" applyBorder="1" applyAlignment="1">
      <alignment horizontal="center" vertical="center" wrapText="1"/>
    </xf>
    <xf numFmtId="4" fontId="53" fillId="0" borderId="3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65" fontId="41" fillId="2" borderId="0" xfId="1" applyNumberFormat="1" applyFont="1" applyFill="1" applyBorder="1" applyAlignment="1">
      <alignment horizontal="right"/>
    </xf>
    <xf numFmtId="165" fontId="41" fillId="2" borderId="8" xfId="1" applyNumberFormat="1" applyFont="1" applyFill="1" applyBorder="1"/>
    <xf numFmtId="165" fontId="41" fillId="2" borderId="8" xfId="1" applyNumberFormat="1" applyFont="1" applyFill="1" applyBorder="1" applyAlignment="1">
      <alignment horizontal="right"/>
    </xf>
    <xf numFmtId="0" fontId="59" fillId="2" borderId="1" xfId="0" applyFont="1" applyFill="1" applyBorder="1" applyAlignment="1">
      <alignment vertical="center"/>
    </xf>
    <xf numFmtId="3" fontId="9" fillId="2" borderId="0" xfId="0" applyNumberFormat="1" applyFont="1" applyFill="1"/>
    <xf numFmtId="0" fontId="34" fillId="2" borderId="0" xfId="0" applyFont="1" applyFill="1"/>
    <xf numFmtId="173" fontId="9" fillId="2" borderId="3" xfId="1" applyNumberFormat="1" applyFont="1" applyFill="1" applyBorder="1" applyAlignment="1">
      <alignment vertical="center"/>
    </xf>
    <xf numFmtId="173" fontId="10" fillId="2" borderId="0" xfId="0" applyNumberFormat="1" applyFont="1" applyFill="1" applyAlignment="1">
      <alignment vertical="center"/>
    </xf>
    <xf numFmtId="173" fontId="10" fillId="2" borderId="4" xfId="0" applyNumberFormat="1" applyFont="1" applyFill="1" applyBorder="1" applyAlignment="1">
      <alignment vertical="center"/>
    </xf>
    <xf numFmtId="173" fontId="9" fillId="2" borderId="0" xfId="1" applyNumberFormat="1" applyFont="1" applyFill="1" applyBorder="1" applyAlignment="1">
      <alignment vertical="center"/>
    </xf>
    <xf numFmtId="173" fontId="12" fillId="2" borderId="3" xfId="1" applyNumberFormat="1" applyFont="1" applyFill="1" applyBorder="1" applyAlignment="1">
      <alignment vertical="center"/>
    </xf>
    <xf numFmtId="173" fontId="14" fillId="2" borderId="4" xfId="0" applyNumberFormat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horizontal="right" vertical="center"/>
    </xf>
    <xf numFmtId="0" fontId="51" fillId="0" borderId="36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38" xfId="0" applyFont="1" applyBorder="1" applyAlignment="1">
      <alignment horizontal="center" vertical="center" wrapText="1"/>
    </xf>
    <xf numFmtId="2" fontId="0" fillId="0" borderId="0" xfId="0" applyNumberFormat="1"/>
    <xf numFmtId="165" fontId="9" fillId="2" borderId="0" xfId="1" applyNumberFormat="1" applyFont="1" applyFill="1" applyBorder="1"/>
    <xf numFmtId="165" fontId="9" fillId="2" borderId="0" xfId="1" applyNumberFormat="1" applyFont="1" applyFill="1" applyBorder="1" applyAlignment="1">
      <alignment horizontal="right"/>
    </xf>
    <xf numFmtId="0" fontId="60" fillId="2" borderId="0" xfId="0" applyFont="1" applyFill="1" applyAlignment="1">
      <alignment horizontal="left" vertical="center" indent="1"/>
    </xf>
    <xf numFmtId="0" fontId="61" fillId="2" borderId="0" xfId="0" applyFont="1" applyFill="1"/>
    <xf numFmtId="0" fontId="38" fillId="2" borderId="7" xfId="0" applyFont="1" applyFill="1" applyBorder="1" applyAlignment="1">
      <alignment horizontal="center" vertical="center" wrapText="1"/>
    </xf>
    <xf numFmtId="165" fontId="23" fillId="2" borderId="0" xfId="1" applyNumberFormat="1" applyFont="1" applyFill="1" applyBorder="1"/>
    <xf numFmtId="165" fontId="23" fillId="2" borderId="0" xfId="1" applyNumberFormat="1" applyFont="1" applyFill="1" applyBorder="1" applyAlignment="1">
      <alignment horizontal="right"/>
    </xf>
    <xf numFmtId="165" fontId="23" fillId="2" borderId="8" xfId="1" applyNumberFormat="1" applyFont="1" applyFill="1" applyBorder="1"/>
    <xf numFmtId="165" fontId="23" fillId="2" borderId="8" xfId="1" applyNumberFormat="1" applyFont="1" applyFill="1" applyBorder="1" applyAlignment="1">
      <alignment horizontal="right"/>
    </xf>
    <xf numFmtId="0" fontId="61" fillId="2" borderId="0" xfId="0" applyFont="1" applyFill="1" applyAlignment="1">
      <alignment horizontal="right"/>
    </xf>
    <xf numFmtId="165" fontId="38" fillId="2" borderId="0" xfId="1" applyNumberFormat="1" applyFont="1" applyFill="1" applyBorder="1" applyAlignment="1">
      <alignment horizontal="right"/>
    </xf>
    <xf numFmtId="0" fontId="9" fillId="2" borderId="2" xfId="0" applyFont="1" applyFill="1" applyBorder="1" applyAlignment="1">
      <alignment horizontal="center" vertical="center" wrapText="1"/>
    </xf>
    <xf numFmtId="3" fontId="9" fillId="2" borderId="3" xfId="1" applyNumberFormat="1" applyFont="1" applyFill="1" applyBorder="1"/>
    <xf numFmtId="2" fontId="9" fillId="2" borderId="3" xfId="0" applyNumberFormat="1" applyFont="1" applyFill="1" applyBorder="1"/>
    <xf numFmtId="2" fontId="9" fillId="2" borderId="0" xfId="0" applyNumberFormat="1" applyFont="1" applyFill="1"/>
    <xf numFmtId="4" fontId="9" fillId="2" borderId="4" xfId="0" applyNumberFormat="1" applyFont="1" applyFill="1" applyBorder="1"/>
    <xf numFmtId="0" fontId="62" fillId="2" borderId="0" xfId="0" applyFont="1" applyFill="1" applyAlignment="1">
      <alignment vertical="center"/>
    </xf>
    <xf numFmtId="0" fontId="23" fillId="2" borderId="2" xfId="0" applyFont="1" applyFill="1" applyBorder="1" applyAlignment="1">
      <alignment horizontal="center" vertical="center" wrapText="1"/>
    </xf>
    <xf numFmtId="3" fontId="23" fillId="2" borderId="3" xfId="1" applyNumberFormat="1" applyFont="1" applyFill="1" applyBorder="1"/>
    <xf numFmtId="3" fontId="23" fillId="2" borderId="0" xfId="0" applyNumberFormat="1" applyFont="1" applyFill="1"/>
    <xf numFmtId="4" fontId="23" fillId="2" borderId="4" xfId="0" applyNumberFormat="1" applyFont="1" applyFill="1" applyBorder="1"/>
    <xf numFmtId="0" fontId="38" fillId="2" borderId="0" xfId="0" applyFont="1" applyFill="1" applyAlignment="1">
      <alignment horizontal="center" vertical="center"/>
    </xf>
    <xf numFmtId="2" fontId="23" fillId="2" borderId="3" xfId="0" applyNumberFormat="1" applyFont="1" applyFill="1" applyBorder="1"/>
    <xf numFmtId="2" fontId="23" fillId="2" borderId="0" xfId="0" applyNumberFormat="1" applyFont="1" applyFill="1"/>
    <xf numFmtId="0" fontId="63" fillId="2" borderId="1" xfId="0" applyFont="1" applyFill="1" applyBorder="1" applyAlignment="1">
      <alignment vertical="center"/>
    </xf>
    <xf numFmtId="0" fontId="62" fillId="2" borderId="1" xfId="0" applyFont="1" applyFill="1" applyBorder="1" applyAlignment="1">
      <alignment vertical="center"/>
    </xf>
    <xf numFmtId="0" fontId="61" fillId="2" borderId="0" xfId="0" applyFont="1" applyFill="1" applyAlignment="1">
      <alignment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left" vertical="center"/>
    </xf>
    <xf numFmtId="165" fontId="23" fillId="2" borderId="3" xfId="1" applyNumberFormat="1" applyFont="1" applyFill="1" applyBorder="1"/>
    <xf numFmtId="0" fontId="38" fillId="2" borderId="0" xfId="0" applyFont="1" applyFill="1"/>
    <xf numFmtId="165" fontId="23" fillId="2" borderId="4" xfId="1" applyNumberFormat="1" applyFont="1" applyFill="1" applyBorder="1"/>
    <xf numFmtId="0" fontId="64" fillId="2" borderId="0" xfId="0" applyFont="1" applyFill="1"/>
    <xf numFmtId="0" fontId="65" fillId="2" borderId="1" xfId="0" applyFont="1" applyFill="1" applyBorder="1" applyAlignment="1">
      <alignment vertical="center"/>
    </xf>
    <xf numFmtId="165" fontId="9" fillId="2" borderId="3" xfId="1" applyNumberFormat="1" applyFont="1" applyFill="1" applyBorder="1"/>
    <xf numFmtId="165" fontId="9" fillId="2" borderId="4" xfId="1" applyNumberFormat="1" applyFont="1" applyFill="1" applyBorder="1"/>
    <xf numFmtId="0" fontId="38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3" fontId="38" fillId="2" borderId="3" xfId="1" applyNumberFormat="1" applyFont="1" applyFill="1" applyBorder="1"/>
    <xf numFmtId="3" fontId="38" fillId="2" borderId="0" xfId="1" applyNumberFormat="1" applyFont="1" applyFill="1" applyBorder="1"/>
    <xf numFmtId="3" fontId="38" fillId="2" borderId="0" xfId="0" applyNumberFormat="1" applyFont="1" applyFill="1"/>
    <xf numFmtId="166" fontId="38" fillId="2" borderId="0" xfId="1" applyNumberFormat="1" applyFont="1" applyFill="1" applyBorder="1"/>
    <xf numFmtId="4" fontId="38" fillId="2" borderId="0" xfId="1" applyNumberFormat="1" applyFont="1" applyFill="1" applyBorder="1"/>
    <xf numFmtId="167" fontId="38" fillId="2" borderId="0" xfId="0" applyNumberFormat="1" applyFont="1" applyFill="1"/>
    <xf numFmtId="166" fontId="4" fillId="2" borderId="0" xfId="0" applyNumberFormat="1" applyFont="1" applyFill="1" applyAlignment="1">
      <alignment horizontal="right" vertical="center"/>
    </xf>
    <xf numFmtId="0" fontId="23" fillId="2" borderId="0" xfId="0" applyFont="1" applyFill="1" applyAlignment="1">
      <alignment horizontal="center" vertical="center"/>
    </xf>
    <xf numFmtId="0" fontId="9" fillId="8" borderId="39" xfId="0" applyFont="1" applyFill="1" applyBorder="1" applyAlignment="1">
      <alignment horizontal="center" vertical="center" wrapText="1"/>
    </xf>
    <xf numFmtId="2" fontId="51" fillId="0" borderId="39" xfId="0" applyNumberFormat="1" applyFont="1" applyBorder="1" applyAlignment="1">
      <alignment horizontal="center" vertical="center" wrapText="1"/>
    </xf>
    <xf numFmtId="2" fontId="51" fillId="0" borderId="40" xfId="0" applyNumberFormat="1" applyFont="1" applyBorder="1" applyAlignment="1">
      <alignment horizontal="center" vertical="center" wrapText="1"/>
    </xf>
    <xf numFmtId="2" fontId="53" fillId="0" borderId="41" xfId="0" applyNumberFormat="1" applyFont="1" applyBorder="1" applyAlignment="1">
      <alignment horizontal="center" vertical="center" wrapText="1"/>
    </xf>
    <xf numFmtId="2" fontId="53" fillId="0" borderId="42" xfId="0" applyNumberFormat="1" applyFont="1" applyBorder="1" applyAlignment="1">
      <alignment horizontal="center" vertical="center" wrapText="1"/>
    </xf>
    <xf numFmtId="4" fontId="51" fillId="0" borderId="40" xfId="0" applyNumberFormat="1" applyFont="1" applyBorder="1" applyAlignment="1">
      <alignment horizontal="center" vertical="center" wrapText="1"/>
    </xf>
    <xf numFmtId="4" fontId="53" fillId="0" borderId="41" xfId="0" applyNumberFormat="1" applyFont="1" applyBorder="1" applyAlignment="1">
      <alignment horizontal="center" vertical="center" wrapText="1"/>
    </xf>
    <xf numFmtId="4" fontId="53" fillId="0" borderId="4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4" fontId="10" fillId="2" borderId="0" xfId="1" applyFont="1" applyFill="1"/>
    <xf numFmtId="0" fontId="31" fillId="4" borderId="0" xfId="0" applyFont="1" applyFill="1"/>
    <xf numFmtId="0" fontId="68" fillId="2" borderId="0" xfId="0" applyFont="1" applyFill="1"/>
    <xf numFmtId="0" fontId="10" fillId="4" borderId="1" xfId="0" applyFont="1" applyFill="1" applyBorder="1" applyAlignment="1">
      <alignment horizontal="left" indent="1"/>
    </xf>
    <xf numFmtId="0" fontId="31" fillId="2" borderId="5" xfId="0" applyFont="1" applyFill="1" applyBorder="1"/>
    <xf numFmtId="0" fontId="31" fillId="2" borderId="4" xfId="0" applyFont="1" applyFill="1" applyBorder="1"/>
    <xf numFmtId="0" fontId="69" fillId="2" borderId="1" xfId="0" applyFont="1" applyFill="1" applyBorder="1" applyAlignment="1">
      <alignment horizontal="left" vertical="center" indent="1"/>
    </xf>
    <xf numFmtId="0" fontId="69" fillId="4" borderId="0" xfId="0" applyFont="1" applyFill="1" applyAlignment="1">
      <alignment horizontal="left" vertical="center" indent="1"/>
    </xf>
    <xf numFmtId="3" fontId="10" fillId="2" borderId="16" xfId="0" applyNumberFormat="1" applyFont="1" applyFill="1" applyBorder="1"/>
    <xf numFmtId="174" fontId="10" fillId="2" borderId="8" xfId="0" applyNumberFormat="1" applyFont="1" applyFill="1" applyBorder="1"/>
    <xf numFmtId="0" fontId="51" fillId="0" borderId="39" xfId="0" applyFont="1" applyBorder="1" applyAlignment="1">
      <alignment horizontal="center" vertical="center" wrapText="1"/>
    </xf>
    <xf numFmtId="165" fontId="28" fillId="2" borderId="0" xfId="0" applyNumberFormat="1" applyFont="1" applyFill="1" applyAlignment="1">
      <alignment vertical="center"/>
    </xf>
    <xf numFmtId="165" fontId="10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2" borderId="2" xfId="0" applyFont="1" applyFill="1" applyBorder="1" applyAlignment="1">
      <alignment horizontal="left" vertical="center"/>
    </xf>
    <xf numFmtId="0" fontId="10" fillId="11" borderId="0" xfId="0" applyFont="1" applyFill="1" applyAlignment="1" applyProtection="1">
      <alignment horizontal="center" vertical="center"/>
      <protection locked="0"/>
    </xf>
    <xf numFmtId="168" fontId="6" fillId="11" borderId="0" xfId="0" applyNumberFormat="1" applyFont="1" applyFill="1" applyAlignment="1" applyProtection="1">
      <alignment horizontal="right" vertical="center"/>
      <protection locked="0"/>
    </xf>
    <xf numFmtId="168" fontId="24" fillId="11" borderId="0" xfId="0" applyNumberFormat="1" applyFont="1" applyFill="1" applyAlignment="1" applyProtection="1">
      <alignment horizontal="right" vertical="center"/>
      <protection locked="0"/>
    </xf>
    <xf numFmtId="171" fontId="24" fillId="11" borderId="0" xfId="0" applyNumberFormat="1" applyFont="1" applyFill="1" applyAlignment="1">
      <alignment horizontal="right" vertical="center"/>
    </xf>
    <xf numFmtId="171" fontId="24" fillId="11" borderId="0" xfId="0" applyNumberFormat="1" applyFont="1" applyFill="1" applyAlignment="1">
      <alignment horizontal="right" vertical="center" wrapText="1"/>
    </xf>
    <xf numFmtId="0" fontId="26" fillId="2" borderId="1" xfId="0" applyFont="1" applyFill="1" applyBorder="1" applyAlignment="1">
      <alignment horizontal="left" vertical="center"/>
    </xf>
    <xf numFmtId="0" fontId="28" fillId="2" borderId="0" xfId="0" applyFont="1" applyFill="1" applyAlignment="1">
      <alignment vertical="center"/>
    </xf>
    <xf numFmtId="0" fontId="9" fillId="2" borderId="5" xfId="0" applyFont="1" applyFill="1" applyBorder="1" applyAlignment="1">
      <alignment vertical="center" wrapText="1"/>
    </xf>
    <xf numFmtId="170" fontId="10" fillId="2" borderId="0" xfId="0" applyNumberFormat="1" applyFont="1" applyFill="1" applyAlignment="1">
      <alignment vertical="center"/>
    </xf>
    <xf numFmtId="170" fontId="10" fillId="2" borderId="5" xfId="0" applyNumberFormat="1" applyFont="1" applyFill="1" applyBorder="1" applyAlignment="1">
      <alignment vertical="center"/>
    </xf>
    <xf numFmtId="169" fontId="9" fillId="11" borderId="3" xfId="0" applyNumberFormat="1" applyFont="1" applyFill="1" applyBorder="1" applyAlignment="1">
      <alignment vertical="center"/>
    </xf>
    <xf numFmtId="169" fontId="9" fillId="2" borderId="0" xfId="0" applyNumberFormat="1" applyFont="1" applyFill="1" applyAlignment="1">
      <alignment vertical="center"/>
    </xf>
    <xf numFmtId="169" fontId="10" fillId="11" borderId="0" xfId="0" applyNumberFormat="1" applyFont="1" applyFill="1" applyAlignment="1">
      <alignment vertical="center"/>
    </xf>
    <xf numFmtId="169" fontId="10" fillId="2" borderId="0" xfId="0" applyNumberFormat="1" applyFont="1" applyFill="1" applyAlignment="1">
      <alignment vertical="center"/>
    </xf>
    <xf numFmtId="165" fontId="10" fillId="11" borderId="0" xfId="0" applyNumberFormat="1" applyFont="1" applyFill="1" applyAlignment="1">
      <alignment vertical="center"/>
    </xf>
    <xf numFmtId="169" fontId="9" fillId="10" borderId="9" xfId="0" applyNumberFormat="1" applyFont="1" applyFill="1" applyBorder="1" applyAlignment="1">
      <alignment vertical="center"/>
    </xf>
    <xf numFmtId="169" fontId="9" fillId="11" borderId="0" xfId="0" applyNumberFormat="1" applyFont="1" applyFill="1" applyAlignment="1">
      <alignment vertical="center"/>
    </xf>
    <xf numFmtId="169" fontId="9" fillId="11" borderId="1" xfId="0" applyNumberFormat="1" applyFont="1" applyFill="1" applyBorder="1" applyAlignment="1">
      <alignment vertical="center"/>
    </xf>
    <xf numFmtId="169" fontId="9" fillId="2" borderId="1" xfId="0" applyNumberFormat="1" applyFont="1" applyFill="1" applyBorder="1" applyAlignment="1">
      <alignment vertical="center"/>
    </xf>
    <xf numFmtId="165" fontId="9" fillId="11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169" fontId="10" fillId="11" borderId="1" xfId="0" applyNumberFormat="1" applyFont="1" applyFill="1" applyBorder="1" applyAlignment="1">
      <alignment vertical="center"/>
    </xf>
    <xf numFmtId="169" fontId="10" fillId="2" borderId="1" xfId="0" applyNumberFormat="1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0" fontId="10" fillId="11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165" fontId="9" fillId="11" borderId="10" xfId="0" applyNumberFormat="1" applyFont="1" applyFill="1" applyBorder="1" applyAlignment="1">
      <alignment vertical="center"/>
    </xf>
    <xf numFmtId="165" fontId="9" fillId="2" borderId="10" xfId="0" applyNumberFormat="1" applyFont="1" applyFill="1" applyBorder="1" applyAlignment="1">
      <alignment vertical="center"/>
    </xf>
    <xf numFmtId="0" fontId="9" fillId="10" borderId="9" xfId="0" applyFont="1" applyFill="1" applyBorder="1" applyAlignment="1">
      <alignment vertical="center" wrapText="1"/>
    </xf>
    <xf numFmtId="0" fontId="9" fillId="10" borderId="9" xfId="0" applyFont="1" applyFill="1" applyBorder="1" applyAlignment="1">
      <alignment horizontal="center" vertical="center"/>
    </xf>
    <xf numFmtId="165" fontId="9" fillId="10" borderId="9" xfId="0" applyNumberFormat="1" applyFont="1" applyFill="1" applyBorder="1" applyAlignment="1">
      <alignment vertical="center"/>
    </xf>
    <xf numFmtId="0" fontId="10" fillId="2" borderId="8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/>
    </xf>
    <xf numFmtId="169" fontId="10" fillId="11" borderId="8" xfId="0" applyNumberFormat="1" applyFont="1" applyFill="1" applyBorder="1" applyAlignment="1">
      <alignment vertical="center"/>
    </xf>
    <xf numFmtId="169" fontId="10" fillId="2" borderId="8" xfId="0" applyNumberFormat="1" applyFont="1" applyFill="1" applyBorder="1" applyAlignment="1">
      <alignment vertical="center"/>
    </xf>
    <xf numFmtId="0" fontId="10" fillId="11" borderId="10" xfId="0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>
      <alignment vertical="center"/>
    </xf>
    <xf numFmtId="0" fontId="9" fillId="10" borderId="10" xfId="0" applyFont="1" applyFill="1" applyBorder="1" applyAlignment="1">
      <alignment vertical="center" wrapText="1"/>
    </xf>
    <xf numFmtId="0" fontId="10" fillId="10" borderId="10" xfId="0" applyFont="1" applyFill="1" applyBorder="1" applyAlignment="1">
      <alignment horizontal="center" vertical="center"/>
    </xf>
    <xf numFmtId="165" fontId="9" fillId="10" borderId="10" xfId="0" applyNumberFormat="1" applyFont="1" applyFill="1" applyBorder="1" applyAlignment="1">
      <alignment vertical="center"/>
    </xf>
    <xf numFmtId="0" fontId="28" fillId="2" borderId="0" xfId="0" applyFont="1" applyFill="1" applyAlignment="1">
      <alignment vertical="center" wrapText="1"/>
    </xf>
    <xf numFmtId="164" fontId="10" fillId="11" borderId="0" xfId="1" applyFont="1" applyFill="1" applyAlignment="1" applyProtection="1">
      <alignment vertical="center"/>
    </xf>
    <xf numFmtId="170" fontId="9" fillId="2" borderId="0" xfId="0" applyNumberFormat="1" applyFont="1" applyFill="1" applyAlignment="1">
      <alignment horizontal="center" vertical="center"/>
    </xf>
    <xf numFmtId="170" fontId="9" fillId="10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0" fontId="9" fillId="10" borderId="0" xfId="0" applyNumberFormat="1" applyFont="1" applyFill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165" fontId="9" fillId="2" borderId="0" xfId="1" applyNumberFormat="1" applyFont="1" applyFill="1" applyBorder="1" applyAlignment="1">
      <alignment vertical="center"/>
    </xf>
    <xf numFmtId="165" fontId="9" fillId="2" borderId="0" xfId="1" applyNumberFormat="1" applyFont="1" applyFill="1" applyBorder="1" applyAlignment="1">
      <alignment horizontal="right" vertical="center"/>
    </xf>
    <xf numFmtId="165" fontId="9" fillId="2" borderId="8" xfId="1" applyNumberFormat="1" applyFont="1" applyFill="1" applyBorder="1" applyAlignment="1">
      <alignment vertical="center"/>
    </xf>
    <xf numFmtId="165" fontId="9" fillId="2" borderId="8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3" fontId="38" fillId="2" borderId="3" xfId="0" applyNumberFormat="1" applyFont="1" applyFill="1" applyBorder="1"/>
    <xf numFmtId="165" fontId="23" fillId="2" borderId="0" xfId="0" applyNumberFormat="1" applyFont="1" applyFill="1"/>
    <xf numFmtId="165" fontId="38" fillId="2" borderId="0" xfId="0" applyNumberFormat="1" applyFont="1" applyFill="1"/>
    <xf numFmtId="0" fontId="25" fillId="0" borderId="0" xfId="0" applyFont="1"/>
    <xf numFmtId="0" fontId="52" fillId="0" borderId="35" xfId="0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 vertical="center" wrapText="1"/>
    </xf>
    <xf numFmtId="0" fontId="56" fillId="0" borderId="37" xfId="0" applyFont="1" applyBorder="1" applyAlignment="1">
      <alignment horizontal="center" vertical="center" wrapText="1"/>
    </xf>
    <xf numFmtId="0" fontId="56" fillId="0" borderId="38" xfId="0" applyFont="1" applyBorder="1" applyAlignment="1">
      <alignment horizontal="center" vertical="center" wrapText="1"/>
    </xf>
    <xf numFmtId="3" fontId="52" fillId="0" borderId="35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52" fillId="0" borderId="39" xfId="0" applyFont="1" applyBorder="1" applyAlignment="1">
      <alignment horizontal="center" vertical="center" wrapText="1"/>
    </xf>
    <xf numFmtId="2" fontId="52" fillId="0" borderId="39" xfId="0" applyNumberFormat="1" applyFont="1" applyBorder="1" applyAlignment="1">
      <alignment horizontal="center" vertical="center" wrapText="1"/>
    </xf>
    <xf numFmtId="2" fontId="52" fillId="0" borderId="40" xfId="0" applyNumberFormat="1" applyFont="1" applyBorder="1" applyAlignment="1">
      <alignment horizontal="center" vertical="center" wrapText="1"/>
    </xf>
    <xf numFmtId="2" fontId="56" fillId="0" borderId="41" xfId="0" applyNumberFormat="1" applyFont="1" applyBorder="1" applyAlignment="1">
      <alignment horizontal="center" vertical="center" wrapText="1"/>
    </xf>
    <xf numFmtId="2" fontId="56" fillId="0" borderId="42" xfId="0" applyNumberFormat="1" applyFont="1" applyBorder="1" applyAlignment="1">
      <alignment horizontal="center" vertical="center" wrapText="1"/>
    </xf>
    <xf numFmtId="2" fontId="70" fillId="0" borderId="26" xfId="0" applyNumberFormat="1" applyFont="1" applyBorder="1" applyAlignment="1">
      <alignment horizontal="center" vertical="center" wrapText="1"/>
    </xf>
    <xf numFmtId="2" fontId="70" fillId="0" borderId="28" xfId="0" applyNumberFormat="1" applyFont="1" applyBorder="1" applyAlignment="1">
      <alignment horizontal="center" vertical="center" wrapText="1"/>
    </xf>
    <xf numFmtId="2" fontId="57" fillId="0" borderId="31" xfId="0" applyNumberFormat="1" applyFont="1" applyBorder="1" applyAlignment="1">
      <alignment horizontal="center" vertical="center" wrapText="1"/>
    </xf>
    <xf numFmtId="2" fontId="57" fillId="0" borderId="34" xfId="0" applyNumberFormat="1" applyFont="1" applyBorder="1" applyAlignment="1">
      <alignment horizontal="center" vertical="center" wrapText="1"/>
    </xf>
    <xf numFmtId="3" fontId="70" fillId="0" borderId="35" xfId="0" applyNumberFormat="1" applyFont="1" applyBorder="1" applyAlignment="1">
      <alignment horizontal="center" vertical="center" wrapText="1"/>
    </xf>
    <xf numFmtId="4" fontId="30" fillId="0" borderId="0" xfId="0" applyNumberFormat="1" applyFont="1" applyAlignment="1">
      <alignment horizontal="center" vertical="center"/>
    </xf>
    <xf numFmtId="4" fontId="70" fillId="0" borderId="28" xfId="0" applyNumberFormat="1" applyFont="1" applyBorder="1" applyAlignment="1">
      <alignment horizontal="center" vertical="center" wrapText="1"/>
    </xf>
    <xf numFmtId="4" fontId="57" fillId="0" borderId="31" xfId="0" applyNumberFormat="1" applyFont="1" applyBorder="1" applyAlignment="1">
      <alignment horizontal="center" vertical="center" wrapText="1"/>
    </xf>
    <xf numFmtId="4" fontId="57" fillId="0" borderId="34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10" borderId="14" xfId="0" applyFont="1" applyFill="1" applyBorder="1" applyAlignment="1" applyProtection="1">
      <alignment vertical="center"/>
      <protection locked="0"/>
    </xf>
    <xf numFmtId="0" fontId="71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0" fontId="51" fillId="0" borderId="40" xfId="0" applyFont="1" applyBorder="1" applyAlignment="1">
      <alignment horizontal="center" vertical="center" wrapText="1"/>
    </xf>
    <xf numFmtId="0" fontId="53" fillId="0" borderId="41" xfId="0" applyFont="1" applyBorder="1" applyAlignment="1">
      <alignment horizontal="center" vertical="center" wrapText="1"/>
    </xf>
    <xf numFmtId="0" fontId="53" fillId="0" borderId="42" xfId="0" applyFont="1" applyBorder="1" applyAlignment="1">
      <alignment horizontal="center" vertical="center" wrapText="1"/>
    </xf>
    <xf numFmtId="0" fontId="51" fillId="0" borderId="35" xfId="0" applyFont="1" applyBorder="1" applyAlignment="1">
      <alignment horizontal="center" vertical="center" wrapText="1"/>
    </xf>
    <xf numFmtId="165" fontId="40" fillId="2" borderId="0" xfId="0" applyNumberFormat="1" applyFont="1" applyFill="1"/>
    <xf numFmtId="168" fontId="31" fillId="2" borderId="0" xfId="0" applyNumberFormat="1" applyFont="1" applyFill="1"/>
    <xf numFmtId="170" fontId="31" fillId="2" borderId="0" xfId="0" applyNumberFormat="1" applyFont="1" applyFill="1"/>
    <xf numFmtId="165" fontId="31" fillId="2" borderId="5" xfId="0" applyNumberFormat="1" applyFont="1" applyFill="1" applyBorder="1"/>
    <xf numFmtId="0" fontId="67" fillId="2" borderId="0" xfId="0" applyFont="1" applyFill="1"/>
    <xf numFmtId="1" fontId="51" fillId="0" borderId="35" xfId="0" applyNumberFormat="1" applyFont="1" applyBorder="1" applyAlignment="1">
      <alignment horizontal="center" vertical="center" wrapText="1"/>
    </xf>
    <xf numFmtId="165" fontId="68" fillId="2" borderId="0" xfId="0" applyNumberFormat="1" applyFont="1" applyFill="1"/>
    <xf numFmtId="0" fontId="72" fillId="2" borderId="0" xfId="0" applyFont="1" applyFill="1" applyAlignment="1">
      <alignment horizontal="left" indent="1"/>
    </xf>
    <xf numFmtId="0" fontId="72" fillId="2" borderId="0" xfId="0" applyFont="1" applyFill="1"/>
    <xf numFmtId="0" fontId="72" fillId="2" borderId="0" xfId="0" applyFont="1" applyFill="1" applyAlignment="1">
      <alignment horizontal="right" vertical="center"/>
    </xf>
    <xf numFmtId="0" fontId="73" fillId="2" borderId="0" xfId="0" applyFont="1" applyFill="1" applyAlignment="1">
      <alignment vertical="center"/>
    </xf>
    <xf numFmtId="0" fontId="72" fillId="2" borderId="4" xfId="0" applyFont="1" applyFill="1" applyBorder="1" applyAlignment="1">
      <alignment horizontal="left" indent="1"/>
    </xf>
    <xf numFmtId="0" fontId="72" fillId="2" borderId="4" xfId="0" applyFont="1" applyFill="1" applyBorder="1"/>
    <xf numFmtId="3" fontId="72" fillId="0" borderId="4" xfId="0" applyNumberFormat="1" applyFont="1" applyBorder="1" applyAlignment="1">
      <alignment horizontal="right" vertical="center"/>
    </xf>
    <xf numFmtId="173" fontId="72" fillId="2" borderId="0" xfId="0" applyNumberFormat="1" applyFont="1" applyFill="1" applyAlignment="1">
      <alignment vertical="center"/>
    </xf>
    <xf numFmtId="4" fontId="51" fillId="0" borderId="39" xfId="0" applyNumberFormat="1" applyFont="1" applyBorder="1" applyAlignment="1">
      <alignment horizontal="center" vertical="center" wrapText="1"/>
    </xf>
    <xf numFmtId="0" fontId="32" fillId="2" borderId="0" xfId="0" applyFont="1" applyFill="1" applyAlignment="1" applyProtection="1">
      <alignment horizontal="center" vertical="center" wrapText="1"/>
      <protection locked="0"/>
    </xf>
    <xf numFmtId="0" fontId="32" fillId="2" borderId="0" xfId="0" applyFont="1" applyFill="1" applyAlignment="1" applyProtection="1">
      <alignment horizontal="center" vertical="center"/>
      <protection locked="0"/>
    </xf>
    <xf numFmtId="0" fontId="32" fillId="2" borderId="15" xfId="0" applyFont="1" applyFill="1" applyBorder="1" applyAlignment="1" applyProtection="1">
      <alignment horizontal="center" vertical="center"/>
      <protection locked="0"/>
    </xf>
    <xf numFmtId="168" fontId="28" fillId="2" borderId="0" xfId="0" applyNumberFormat="1" applyFont="1" applyFill="1" applyAlignment="1">
      <alignment vertical="center"/>
    </xf>
    <xf numFmtId="167" fontId="51" fillId="0" borderId="39" xfId="0" applyNumberFormat="1" applyFont="1" applyBorder="1" applyAlignment="1">
      <alignment horizontal="center" vertical="center" wrapText="1"/>
    </xf>
    <xf numFmtId="0" fontId="28" fillId="2" borderId="45" xfId="0" applyFont="1" applyFill="1" applyBorder="1"/>
    <xf numFmtId="171" fontId="28" fillId="2" borderId="45" xfId="0" applyNumberFormat="1" applyFont="1" applyFill="1" applyBorder="1"/>
    <xf numFmtId="170" fontId="10" fillId="2" borderId="46" xfId="0" applyNumberFormat="1" applyFont="1" applyFill="1" applyBorder="1" applyAlignment="1" applyProtection="1">
      <alignment horizontal="right" vertical="center"/>
      <protection locked="0"/>
    </xf>
    <xf numFmtId="0" fontId="28" fillId="2" borderId="47" xfId="0" applyFont="1" applyFill="1" applyBorder="1"/>
    <xf numFmtId="165" fontId="28" fillId="2" borderId="45" xfId="0" applyNumberFormat="1" applyFont="1" applyFill="1" applyBorder="1"/>
    <xf numFmtId="0" fontId="28" fillId="2" borderId="48" xfId="0" applyFont="1" applyFill="1" applyBorder="1"/>
    <xf numFmtId="0" fontId="31" fillId="2" borderId="49" xfId="0" applyFont="1" applyFill="1" applyBorder="1"/>
    <xf numFmtId="0" fontId="31" fillId="4" borderId="49" xfId="0" applyFont="1" applyFill="1" applyBorder="1"/>
    <xf numFmtId="165" fontId="31" fillId="2" borderId="49" xfId="0" applyNumberFormat="1" applyFont="1" applyFill="1" applyBorder="1"/>
    <xf numFmtId="0" fontId="31" fillId="2" borderId="51" xfId="0" applyFont="1" applyFill="1" applyBorder="1"/>
    <xf numFmtId="165" fontId="10" fillId="2" borderId="49" xfId="0" applyNumberFormat="1" applyFont="1" applyFill="1" applyBorder="1"/>
    <xf numFmtId="165" fontId="31" fillId="2" borderId="51" xfId="0" applyNumberFormat="1" applyFont="1" applyFill="1" applyBorder="1"/>
    <xf numFmtId="0" fontId="31" fillId="2" borderId="52" xfId="0" applyFont="1" applyFill="1" applyBorder="1"/>
    <xf numFmtId="174" fontId="10" fillId="2" borderId="49" xfId="0" applyNumberFormat="1" applyFont="1" applyFill="1" applyBorder="1"/>
    <xf numFmtId="165" fontId="68" fillId="2" borderId="49" xfId="0" applyNumberFormat="1" applyFont="1" applyFill="1" applyBorder="1"/>
    <xf numFmtId="0" fontId="28" fillId="2" borderId="49" xfId="0" applyFont="1" applyFill="1" applyBorder="1"/>
    <xf numFmtId="0" fontId="27" fillId="5" borderId="49" xfId="0" applyFont="1" applyFill="1" applyBorder="1" applyAlignment="1">
      <alignment vertical="center"/>
    </xf>
    <xf numFmtId="0" fontId="10" fillId="2" borderId="53" xfId="0" applyFont="1" applyFill="1" applyBorder="1" applyAlignment="1">
      <alignment horizontal="center" vertical="center" wrapText="1"/>
    </xf>
    <xf numFmtId="165" fontId="28" fillId="2" borderId="49" xfId="0" applyNumberFormat="1" applyFont="1" applyFill="1" applyBorder="1"/>
    <xf numFmtId="165" fontId="10" fillId="2" borderId="54" xfId="0" applyNumberFormat="1" applyFont="1" applyFill="1" applyBorder="1"/>
    <xf numFmtId="165" fontId="10" fillId="2" borderId="55" xfId="0" applyNumberFormat="1" applyFont="1" applyFill="1" applyBorder="1"/>
    <xf numFmtId="165" fontId="10" fillId="2" borderId="51" xfId="0" applyNumberFormat="1" applyFont="1" applyFill="1" applyBorder="1" applyAlignment="1">
      <alignment horizontal="right" vertical="top"/>
    </xf>
    <xf numFmtId="0" fontId="15" fillId="4" borderId="50" xfId="0" applyFont="1" applyFill="1" applyBorder="1"/>
    <xf numFmtId="165" fontId="10" fillId="0" borderId="49" xfId="0" applyNumberFormat="1" applyFont="1" applyBorder="1"/>
    <xf numFmtId="165" fontId="9" fillId="2" borderId="51" xfId="0" applyNumberFormat="1" applyFont="1" applyFill="1" applyBorder="1"/>
    <xf numFmtId="165" fontId="10" fillId="2" borderId="51" xfId="0" applyNumberFormat="1" applyFont="1" applyFill="1" applyBorder="1"/>
    <xf numFmtId="165" fontId="28" fillId="2" borderId="49" xfId="0" applyNumberFormat="1" applyFont="1" applyFill="1" applyBorder="1" applyAlignment="1">
      <alignment vertical="center"/>
    </xf>
    <xf numFmtId="165" fontId="28" fillId="0" borderId="49" xfId="0" applyNumberFormat="1" applyFont="1" applyBorder="1"/>
    <xf numFmtId="174" fontId="10" fillId="2" borderId="54" xfId="0" applyNumberFormat="1" applyFont="1" applyFill="1" applyBorder="1"/>
    <xf numFmtId="0" fontId="28" fillId="2" borderId="52" xfId="0" applyFont="1" applyFill="1" applyBorder="1"/>
    <xf numFmtId="170" fontId="28" fillId="2" borderId="49" xfId="0" applyNumberFormat="1" applyFont="1" applyFill="1" applyBorder="1"/>
    <xf numFmtId="165" fontId="9" fillId="2" borderId="49" xfId="0" applyNumberFormat="1" applyFont="1" applyFill="1" applyBorder="1"/>
    <xf numFmtId="165" fontId="34" fillId="2" borderId="49" xfId="0" applyNumberFormat="1" applyFont="1" applyFill="1" applyBorder="1"/>
    <xf numFmtId="165" fontId="10" fillId="2" borderId="52" xfId="0" applyNumberFormat="1" applyFont="1" applyFill="1" applyBorder="1"/>
    <xf numFmtId="3" fontId="10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5" fillId="2" borderId="4" xfId="0" applyFont="1" applyFill="1" applyBorder="1"/>
    <xf numFmtId="0" fontId="9" fillId="2" borderId="0" xfId="0" applyFont="1" applyFill="1"/>
    <xf numFmtId="0" fontId="10" fillId="4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171" fontId="15" fillId="2" borderId="0" xfId="0" applyNumberFormat="1" applyFont="1" applyFill="1" applyAlignment="1">
      <alignment vertical="center"/>
    </xf>
    <xf numFmtId="0" fontId="35" fillId="2" borderId="4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vertical="center"/>
    </xf>
    <xf numFmtId="0" fontId="32" fillId="2" borderId="5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9" fillId="2" borderId="4" xfId="0" applyFont="1" applyFill="1" applyBorder="1"/>
    <xf numFmtId="0" fontId="27" fillId="4" borderId="1" xfId="0" applyFont="1" applyFill="1" applyBorder="1" applyAlignment="1">
      <alignment horizontal="left" indent="1"/>
    </xf>
    <xf numFmtId="0" fontId="10" fillId="2" borderId="6" xfId="0" applyFont="1" applyFill="1" applyBorder="1" applyAlignment="1">
      <alignment vertical="center"/>
    </xf>
    <xf numFmtId="0" fontId="10" fillId="2" borderId="56" xfId="0" applyFont="1" applyFill="1" applyBorder="1"/>
    <xf numFmtId="0" fontId="9" fillId="2" borderId="0" xfId="0" applyFont="1" applyFill="1" applyAlignment="1">
      <alignment horizontal="left" wrapText="1" indent="1"/>
    </xf>
    <xf numFmtId="0" fontId="10" fillId="2" borderId="0" xfId="0" quotePrefix="1" applyFont="1" applyFill="1"/>
    <xf numFmtId="0" fontId="9" fillId="2" borderId="6" xfId="0" applyFont="1" applyFill="1" applyBorder="1" applyAlignment="1">
      <alignment horizontal="center" vertical="center" wrapText="1"/>
    </xf>
    <xf numFmtId="171" fontId="34" fillId="2" borderId="0" xfId="0" applyNumberFormat="1" applyFont="1" applyFill="1"/>
    <xf numFmtId="0" fontId="34" fillId="2" borderId="57" xfId="0" applyFont="1" applyFill="1" applyBorder="1"/>
    <xf numFmtId="0" fontId="74" fillId="2" borderId="4" xfId="0" applyFont="1" applyFill="1" applyBorder="1"/>
    <xf numFmtId="0" fontId="31" fillId="4" borderId="58" xfId="0" applyFont="1" applyFill="1" applyBorder="1"/>
    <xf numFmtId="164" fontId="10" fillId="2" borderId="0" xfId="1" applyFont="1" applyFill="1" applyAlignment="1">
      <alignment horizontal="right" vertical="center"/>
    </xf>
    <xf numFmtId="3" fontId="31" fillId="2" borderId="0" xfId="0" applyNumberFormat="1" applyFont="1" applyFill="1"/>
    <xf numFmtId="164" fontId="10" fillId="2" borderId="44" xfId="1" applyFont="1" applyFill="1" applyBorder="1"/>
    <xf numFmtId="164" fontId="10" fillId="2" borderId="0" xfId="1" applyFont="1" applyFill="1" applyAlignment="1">
      <alignment horizontal="right"/>
    </xf>
    <xf numFmtId="174" fontId="31" fillId="2" borderId="0" xfId="0" applyNumberFormat="1" applyFont="1" applyFill="1"/>
    <xf numFmtId="16" fontId="9" fillId="2" borderId="0" xfId="0" applyNumberFormat="1" applyFont="1" applyFill="1" applyAlignment="1">
      <alignment horizontal="center" vertical="center"/>
    </xf>
    <xf numFmtId="164" fontId="10" fillId="2" borderId="0" xfId="1" applyFont="1" applyFill="1" applyAlignment="1">
      <alignment horizontal="left" vertical="center"/>
    </xf>
    <xf numFmtId="169" fontId="0" fillId="2" borderId="0" xfId="0" applyNumberFormat="1" applyFill="1"/>
    <xf numFmtId="2" fontId="0" fillId="2" borderId="0" xfId="0" applyNumberFormat="1" applyFill="1"/>
    <xf numFmtId="175" fontId="0" fillId="2" borderId="0" xfId="0" applyNumberFormat="1" applyFill="1"/>
    <xf numFmtId="0" fontId="58" fillId="2" borderId="0" xfId="2" applyFont="1" applyFill="1" applyAlignment="1" applyProtection="1">
      <alignment horizontal="center" vertical="center"/>
      <protection locked="0"/>
    </xf>
    <xf numFmtId="171" fontId="28" fillId="2" borderId="60" xfId="0" applyNumberFormat="1" applyFont="1" applyFill="1" applyBorder="1"/>
    <xf numFmtId="171" fontId="28" fillId="2" borderId="61" xfId="0" applyNumberFormat="1" applyFont="1" applyFill="1" applyBorder="1"/>
    <xf numFmtId="171" fontId="34" fillId="2" borderId="61" xfId="0" applyNumberFormat="1" applyFont="1" applyFill="1" applyBorder="1"/>
    <xf numFmtId="0" fontId="10" fillId="0" borderId="0" xfId="0" applyFont="1" applyAlignment="1">
      <alignment horizontal="left" vertical="center"/>
    </xf>
    <xf numFmtId="0" fontId="31" fillId="0" borderId="49" xfId="0" applyFont="1" applyBorder="1"/>
    <xf numFmtId="0" fontId="31" fillId="0" borderId="0" xfId="0" applyFont="1"/>
    <xf numFmtId="174" fontId="10" fillId="2" borderId="0" xfId="1" applyNumberFormat="1" applyFont="1" applyFill="1"/>
    <xf numFmtId="165" fontId="35" fillId="2" borderId="4" xfId="0" applyNumberFormat="1" applyFont="1" applyFill="1" applyBorder="1"/>
    <xf numFmtId="3" fontId="31" fillId="2" borderId="4" xfId="0" applyNumberFormat="1" applyFont="1" applyFill="1" applyBorder="1"/>
    <xf numFmtId="177" fontId="53" fillId="0" borderId="41" xfId="0" quotePrefix="1" applyNumberFormat="1" applyFont="1" applyBorder="1" applyAlignment="1">
      <alignment horizontal="center" vertical="center" wrapText="1"/>
    </xf>
    <xf numFmtId="0" fontId="77" fillId="2" borderId="0" xfId="0" applyFont="1" applyFill="1" applyAlignment="1">
      <alignment horizontal="left" vertical="center" indent="1"/>
    </xf>
    <xf numFmtId="165" fontId="79" fillId="2" borderId="0" xfId="1" applyNumberFormat="1" applyFont="1" applyFill="1"/>
    <xf numFmtId="165" fontId="79" fillId="2" borderId="0" xfId="1" applyNumberFormat="1" applyFont="1" applyFill="1" applyAlignment="1">
      <alignment vertical="center"/>
    </xf>
    <xf numFmtId="166" fontId="79" fillId="2" borderId="5" xfId="1" applyNumberFormat="1" applyFont="1" applyFill="1" applyBorder="1" applyAlignment="1">
      <alignment horizontal="right" vertical="center"/>
    </xf>
    <xf numFmtId="166" fontId="81" fillId="2" borderId="5" xfId="1" applyNumberFormat="1" applyFont="1" applyFill="1" applyBorder="1" applyAlignment="1">
      <alignment horizontal="right" vertical="center"/>
    </xf>
    <xf numFmtId="1" fontId="78" fillId="2" borderId="0" xfId="0" applyNumberFormat="1" applyFont="1" applyFill="1" applyAlignment="1">
      <alignment horizontal="right" vertical="center"/>
    </xf>
    <xf numFmtId="0" fontId="80" fillId="2" borderId="5" xfId="0" applyFont="1" applyFill="1" applyBorder="1"/>
    <xf numFmtId="0" fontId="82" fillId="2" borderId="1" xfId="0" applyFont="1" applyFill="1" applyBorder="1" applyAlignment="1">
      <alignment vertical="center"/>
    </xf>
    <xf numFmtId="0" fontId="83" fillId="2" borderId="1" xfId="0" applyFont="1" applyFill="1" applyBorder="1" applyAlignment="1">
      <alignment vertical="center"/>
    </xf>
    <xf numFmtId="0" fontId="81" fillId="2" borderId="2" xfId="0" applyFont="1" applyFill="1" applyBorder="1" applyAlignment="1">
      <alignment horizontal="center" vertical="center" wrapText="1"/>
    </xf>
    <xf numFmtId="0" fontId="84" fillId="2" borderId="0" xfId="0" applyFont="1" applyFill="1" applyAlignment="1">
      <alignment horizontal="left" vertical="center"/>
    </xf>
    <xf numFmtId="0" fontId="78" fillId="2" borderId="0" xfId="0" applyFont="1" applyFill="1" applyAlignment="1">
      <alignment horizontal="left" vertical="center"/>
    </xf>
    <xf numFmtId="165" fontId="79" fillId="2" borderId="3" xfId="1" applyNumberFormat="1" applyFont="1" applyFill="1" applyBorder="1"/>
    <xf numFmtId="165" fontId="85" fillId="2" borderId="3" xfId="1" applyNumberFormat="1" applyFont="1" applyFill="1" applyBorder="1"/>
    <xf numFmtId="0" fontId="86" fillId="2" borderId="0" xfId="0" applyFont="1" applyFill="1"/>
    <xf numFmtId="165" fontId="85" fillId="2" borderId="0" xfId="1" applyNumberFormat="1" applyFont="1" applyFill="1" applyAlignment="1">
      <alignment vertical="center"/>
    </xf>
    <xf numFmtId="165" fontId="85" fillId="2" borderId="0" xfId="1" applyNumberFormat="1" applyFont="1" applyFill="1"/>
    <xf numFmtId="165" fontId="79" fillId="2" borderId="4" xfId="1" applyNumberFormat="1" applyFont="1" applyFill="1" applyBorder="1"/>
    <xf numFmtId="165" fontId="85" fillId="2" borderId="4" xfId="1" applyNumberFormat="1" applyFont="1" applyFill="1" applyBorder="1"/>
    <xf numFmtId="165" fontId="84" fillId="2" borderId="0" xfId="1" applyNumberFormat="1" applyFont="1" applyFill="1"/>
    <xf numFmtId="0" fontId="4" fillId="2" borderId="16" xfId="0" applyFont="1" applyFill="1" applyBorder="1"/>
    <xf numFmtId="165" fontId="31" fillId="2" borderId="61" xfId="0" applyNumberFormat="1" applyFont="1" applyFill="1" applyBorder="1"/>
    <xf numFmtId="165" fontId="10" fillId="2" borderId="61" xfId="0" applyNumberFormat="1" applyFont="1" applyFill="1" applyBorder="1"/>
    <xf numFmtId="168" fontId="6" fillId="2" borderId="0" xfId="0" applyNumberFormat="1" applyFont="1" applyFill="1" applyAlignment="1" applyProtection="1">
      <alignment horizontal="right" vertical="center"/>
      <protection locked="0"/>
    </xf>
    <xf numFmtId="164" fontId="10" fillId="2" borderId="61" xfId="1" applyFont="1" applyFill="1" applyBorder="1"/>
    <xf numFmtId="164" fontId="10" fillId="2" borderId="16" xfId="1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 indent="1"/>
    </xf>
    <xf numFmtId="165" fontId="0" fillId="2" borderId="0" xfId="0" applyNumberFormat="1" applyFill="1"/>
    <xf numFmtId="0" fontId="10" fillId="2" borderId="0" xfId="0" quotePrefix="1" applyFont="1" applyFill="1" applyAlignment="1">
      <alignment horizontal="left" wrapText="1" indent="1"/>
    </xf>
    <xf numFmtId="3" fontId="28" fillId="2" borderId="0" xfId="0" applyNumberFormat="1" applyFont="1" applyFill="1"/>
    <xf numFmtId="0" fontId="87" fillId="2" borderId="0" xfId="0" applyFont="1" applyFill="1"/>
    <xf numFmtId="1" fontId="88" fillId="2" borderId="0" xfId="0" applyNumberFormat="1" applyFont="1" applyFill="1" applyAlignment="1">
      <alignment horizontal="right" vertical="center"/>
    </xf>
    <xf numFmtId="166" fontId="89" fillId="2" borderId="0" xfId="1" applyNumberFormat="1" applyFont="1" applyFill="1" applyAlignment="1">
      <alignment horizontal="right" vertical="center"/>
    </xf>
    <xf numFmtId="166" fontId="90" fillId="2" borderId="0" xfId="1" applyNumberFormat="1" applyFont="1" applyFill="1" applyAlignment="1">
      <alignment horizontal="right" vertical="center"/>
    </xf>
    <xf numFmtId="0" fontId="91" fillId="3" borderId="0" xfId="0" applyFont="1" applyFill="1" applyAlignment="1">
      <alignment horizontal="left" indent="1"/>
    </xf>
    <xf numFmtId="0" fontId="92" fillId="3" borderId="0" xfId="0" applyFont="1" applyFill="1"/>
    <xf numFmtId="166" fontId="91" fillId="3" borderId="0" xfId="0" applyNumberFormat="1" applyFont="1" applyFill="1" applyAlignment="1">
      <alignment horizontal="right" vertical="center"/>
    </xf>
    <xf numFmtId="0" fontId="16" fillId="0" borderId="0" xfId="0" applyFont="1" applyAlignment="1">
      <alignment horizontal="left" indent="1"/>
    </xf>
    <xf numFmtId="0" fontId="17" fillId="0" borderId="0" xfId="0" applyFont="1"/>
    <xf numFmtId="166" fontId="20" fillId="0" borderId="0" xfId="0" applyNumberFormat="1" applyFont="1" applyAlignment="1">
      <alignment horizontal="right" vertical="center"/>
    </xf>
    <xf numFmtId="0" fontId="91" fillId="0" borderId="0" xfId="0" applyFont="1" applyAlignment="1">
      <alignment horizontal="left" indent="1"/>
    </xf>
    <xf numFmtId="0" fontId="92" fillId="0" borderId="0" xfId="0" applyFont="1"/>
    <xf numFmtId="166" fontId="91" fillId="0" borderId="0" xfId="0" applyNumberFormat="1" applyFont="1" applyAlignment="1">
      <alignment horizontal="right" vertical="center"/>
    </xf>
    <xf numFmtId="166" fontId="93" fillId="0" borderId="0" xfId="0" applyNumberFormat="1" applyFont="1" applyAlignment="1">
      <alignment horizontal="right" vertical="center"/>
    </xf>
    <xf numFmtId="0" fontId="94" fillId="2" borderId="1" xfId="0" applyFont="1" applyFill="1" applyBorder="1" applyAlignment="1">
      <alignment vertical="center"/>
    </xf>
    <xf numFmtId="0" fontId="95" fillId="2" borderId="1" xfId="0" applyFont="1" applyFill="1" applyBorder="1" applyAlignment="1">
      <alignment vertical="center"/>
    </xf>
    <xf numFmtId="0" fontId="96" fillId="2" borderId="0" xfId="0" applyFont="1" applyFill="1" applyAlignment="1">
      <alignment horizontal="left" vertical="center" indent="1"/>
    </xf>
    <xf numFmtId="0" fontId="90" fillId="2" borderId="2" xfId="0" applyFont="1" applyFill="1" applyBorder="1" applyAlignment="1">
      <alignment horizontal="center" vertical="center" wrapText="1"/>
    </xf>
    <xf numFmtId="0" fontId="97" fillId="2" borderId="0" xfId="0" applyFont="1" applyFill="1" applyAlignment="1">
      <alignment horizontal="left" vertical="center"/>
    </xf>
    <xf numFmtId="165" fontId="89" fillId="2" borderId="3" xfId="1" applyNumberFormat="1" applyFont="1" applyFill="1" applyBorder="1"/>
    <xf numFmtId="165" fontId="98" fillId="2" borderId="3" xfId="1" applyNumberFormat="1" applyFont="1" applyFill="1" applyBorder="1"/>
    <xf numFmtId="0" fontId="99" fillId="2" borderId="0" xfId="0" applyFont="1" applyFill="1"/>
    <xf numFmtId="165" fontId="89" fillId="2" borderId="0" xfId="1" applyNumberFormat="1" applyFont="1" applyFill="1" applyAlignment="1">
      <alignment vertical="center"/>
    </xf>
    <xf numFmtId="165" fontId="89" fillId="2" borderId="0" xfId="1" applyNumberFormat="1" applyFont="1" applyFill="1"/>
    <xf numFmtId="165" fontId="89" fillId="2" borderId="4" xfId="1" applyNumberFormat="1" applyFont="1" applyFill="1" applyBorder="1"/>
    <xf numFmtId="165" fontId="98" fillId="2" borderId="0" xfId="1" applyNumberFormat="1" applyFont="1" applyFill="1"/>
    <xf numFmtId="165" fontId="97" fillId="2" borderId="0" xfId="1" applyNumberFormat="1" applyFont="1" applyFill="1"/>
    <xf numFmtId="0" fontId="24" fillId="2" borderId="43" xfId="0" applyFont="1" applyFill="1" applyBorder="1" applyAlignment="1">
      <alignment vertical="center" wrapText="1"/>
    </xf>
    <xf numFmtId="3" fontId="58" fillId="2" borderId="0" xfId="2" applyNumberFormat="1" applyFont="1" applyFill="1" applyAlignment="1" applyProtection="1">
      <alignment horizontal="center" vertical="center"/>
      <protection locked="0"/>
    </xf>
    <xf numFmtId="165" fontId="31" fillId="0" borderId="0" xfId="0" applyNumberFormat="1" applyFont="1"/>
    <xf numFmtId="180" fontId="6" fillId="11" borderId="43" xfId="0" applyNumberFormat="1" applyFont="1" applyFill="1" applyBorder="1" applyAlignment="1">
      <alignment horizontal="right" vertical="center" wrapText="1"/>
    </xf>
    <xf numFmtId="0" fontId="37" fillId="2" borderId="0" xfId="2" applyFont="1" applyFill="1" applyAlignment="1" applyProtection="1">
      <alignment horizontal="center" vertical="center"/>
      <protection locked="0"/>
    </xf>
    <xf numFmtId="49" fontId="37" fillId="2" borderId="0" xfId="2" applyNumberFormat="1" applyFont="1" applyFill="1" applyAlignment="1" applyProtection="1">
      <alignment horizontal="center" vertical="center"/>
      <protection locked="0"/>
    </xf>
    <xf numFmtId="0" fontId="6" fillId="2" borderId="43" xfId="0" applyFont="1" applyFill="1" applyBorder="1" applyAlignment="1">
      <alignment horizontal="center" vertical="center" wrapText="1"/>
    </xf>
    <xf numFmtId="178" fontId="28" fillId="2" borderId="0" xfId="0" applyNumberFormat="1" applyFont="1" applyFill="1"/>
    <xf numFmtId="0" fontId="10" fillId="0" borderId="6" xfId="0" applyFont="1" applyBorder="1" applyAlignment="1">
      <alignment horizontal="center" vertical="center" wrapText="1"/>
    </xf>
    <xf numFmtId="175" fontId="28" fillId="2" borderId="0" xfId="0" applyNumberFormat="1" applyFont="1" applyFill="1"/>
    <xf numFmtId="165" fontId="25" fillId="2" borderId="0" xfId="0" applyNumberFormat="1" applyFont="1" applyFill="1"/>
    <xf numFmtId="165" fontId="9" fillId="2" borderId="0" xfId="1" applyNumberFormat="1" applyFont="1" applyFill="1"/>
    <xf numFmtId="165" fontId="9" fillId="2" borderId="0" xfId="1" applyNumberFormat="1" applyFont="1" applyFill="1" applyAlignment="1">
      <alignment vertical="center"/>
    </xf>
    <xf numFmtId="171" fontId="10" fillId="2" borderId="0" xfId="0" applyNumberFormat="1" applyFont="1" applyFill="1" applyAlignment="1" applyProtection="1">
      <alignment horizontal="left" vertical="center" wrapText="1"/>
      <protection locked="0"/>
    </xf>
    <xf numFmtId="0" fontId="128" fillId="2" borderId="2" xfId="0" applyFont="1" applyFill="1" applyBorder="1" applyAlignment="1">
      <alignment horizontal="center" vertical="center" wrapText="1"/>
    </xf>
    <xf numFmtId="165" fontId="129" fillId="2" borderId="0" xfId="1" applyNumberFormat="1" applyFont="1" applyFill="1" applyAlignment="1">
      <alignment vertical="center"/>
    </xf>
    <xf numFmtId="165" fontId="129" fillId="2" borderId="8" xfId="1" applyNumberFormat="1" applyFont="1" applyFill="1" applyBorder="1" applyAlignment="1">
      <alignment vertical="center"/>
    </xf>
    <xf numFmtId="164" fontId="4" fillId="2" borderId="0" xfId="1" applyFont="1" applyFill="1" applyAlignment="1">
      <alignment horizontal="center" vertical="center"/>
    </xf>
    <xf numFmtId="164" fontId="130" fillId="2" borderId="0" xfId="1" applyFont="1" applyFill="1" applyAlignment="1">
      <alignment horizontal="center" vertical="center"/>
    </xf>
    <xf numFmtId="175" fontId="4" fillId="2" borderId="0" xfId="0" applyNumberFormat="1" applyFont="1" applyFill="1" applyAlignment="1">
      <alignment horizontal="center" vertical="center"/>
    </xf>
    <xf numFmtId="175" fontId="130" fillId="2" borderId="0" xfId="0" applyNumberFormat="1" applyFont="1" applyFill="1" applyAlignment="1">
      <alignment horizontal="center" vertical="center"/>
    </xf>
    <xf numFmtId="2" fontId="9" fillId="0" borderId="0" xfId="0" applyNumberFormat="1" applyFont="1"/>
    <xf numFmtId="2" fontId="38" fillId="0" borderId="0" xfId="0" applyNumberFormat="1" applyFont="1"/>
    <xf numFmtId="179" fontId="4" fillId="2" borderId="0" xfId="0" applyNumberFormat="1" applyFont="1" applyFill="1" applyAlignment="1">
      <alignment horizontal="center" vertical="center"/>
    </xf>
    <xf numFmtId="187" fontId="47" fillId="2" borderId="0" xfId="3" applyNumberFormat="1" applyFont="1" applyFill="1" applyBorder="1" applyProtection="1">
      <alignment horizontal="right" vertical="center"/>
      <protection locked="0"/>
    </xf>
    <xf numFmtId="0" fontId="6" fillId="0" borderId="8" xfId="0" applyFont="1" applyBorder="1" applyAlignment="1">
      <alignment vertical="center" wrapText="1"/>
    </xf>
    <xf numFmtId="0" fontId="131" fillId="2" borderId="2" xfId="0" applyFont="1" applyFill="1" applyBorder="1" applyAlignment="1">
      <alignment horizontal="center" vertical="center" wrapText="1"/>
    </xf>
    <xf numFmtId="0" fontId="132" fillId="2" borderId="2" xfId="0" applyFont="1" applyFill="1" applyBorder="1" applyAlignment="1">
      <alignment horizontal="center" vertical="center" wrapText="1"/>
    </xf>
    <xf numFmtId="0" fontId="133" fillId="2" borderId="0" xfId="0" applyFont="1" applyFill="1" applyAlignment="1">
      <alignment vertical="center"/>
    </xf>
    <xf numFmtId="0" fontId="134" fillId="2" borderId="0" xfId="0" applyFont="1" applyFill="1" applyAlignment="1">
      <alignment horizontal="center" vertical="center" wrapText="1"/>
    </xf>
    <xf numFmtId="0" fontId="135" fillId="2" borderId="0" xfId="0" applyFont="1" applyFill="1" applyAlignment="1">
      <alignment vertical="center"/>
    </xf>
    <xf numFmtId="3" fontId="131" fillId="2" borderId="3" xfId="1" applyNumberFormat="1" applyFont="1" applyFill="1" applyBorder="1"/>
    <xf numFmtId="3" fontId="131" fillId="2" borderId="0" xfId="0" applyNumberFormat="1" applyFont="1" applyFill="1"/>
    <xf numFmtId="2" fontId="131" fillId="2" borderId="3" xfId="0" applyNumberFormat="1" applyFont="1" applyFill="1" applyBorder="1"/>
    <xf numFmtId="2" fontId="131" fillId="0" borderId="0" xfId="0" applyNumberFormat="1" applyFont="1"/>
    <xf numFmtId="2" fontId="131" fillId="2" borderId="0" xfId="0" applyNumberFormat="1" applyFont="1" applyFill="1"/>
    <xf numFmtId="4" fontId="131" fillId="2" borderId="4" xfId="0" applyNumberFormat="1" applyFont="1" applyFill="1" applyBorder="1"/>
    <xf numFmtId="3" fontId="132" fillId="2" borderId="3" xfId="1" applyNumberFormat="1" applyFont="1" applyFill="1" applyBorder="1"/>
    <xf numFmtId="3" fontId="132" fillId="2" borderId="0" xfId="0" applyNumberFormat="1" applyFont="1" applyFill="1"/>
    <xf numFmtId="164" fontId="136" fillId="2" borderId="0" xfId="1" applyFont="1" applyFill="1" applyAlignment="1">
      <alignment horizontal="center" vertical="center"/>
    </xf>
    <xf numFmtId="2" fontId="132" fillId="2" borderId="3" xfId="0" applyNumberFormat="1" applyFont="1" applyFill="1" applyBorder="1"/>
    <xf numFmtId="2" fontId="132" fillId="0" borderId="0" xfId="0" applyNumberFormat="1" applyFont="1"/>
    <xf numFmtId="2" fontId="132" fillId="2" borderId="0" xfId="0" applyNumberFormat="1" applyFont="1" applyFill="1"/>
    <xf numFmtId="4" fontId="132" fillId="2" borderId="4" xfId="0" applyNumberFormat="1" applyFont="1" applyFill="1" applyBorder="1"/>
    <xf numFmtId="4" fontId="134" fillId="2" borderId="0" xfId="0" applyNumberFormat="1" applyFont="1" applyFill="1"/>
    <xf numFmtId="0" fontId="136" fillId="2" borderId="0" xfId="0" applyFont="1" applyFill="1" applyAlignment="1">
      <alignment horizontal="left" vertical="center"/>
    </xf>
    <xf numFmtId="0" fontId="138" fillId="2" borderId="2" xfId="0" applyFont="1" applyFill="1" applyBorder="1" applyAlignment="1">
      <alignment horizontal="center" vertical="center" wrapText="1"/>
    </xf>
    <xf numFmtId="166" fontId="131" fillId="2" borderId="5" xfId="1" applyNumberFormat="1" applyFont="1" applyFill="1" applyBorder="1" applyAlignment="1">
      <alignment horizontal="right" vertical="center"/>
    </xf>
    <xf numFmtId="0" fontId="139" fillId="2" borderId="0" xfId="0" applyFont="1" applyFill="1" applyAlignment="1">
      <alignment horizontal="left" vertical="center" indent="1"/>
    </xf>
    <xf numFmtId="165" fontId="131" fillId="2" borderId="3" xfId="1" applyNumberFormat="1" applyFont="1" applyFill="1" applyBorder="1"/>
    <xf numFmtId="165" fontId="132" fillId="2" borderId="3" xfId="1" applyNumberFormat="1" applyFont="1" applyFill="1" applyBorder="1"/>
    <xf numFmtId="0" fontId="140" fillId="2" borderId="0" xfId="0" applyFont="1" applyFill="1"/>
    <xf numFmtId="165" fontId="131" fillId="2" borderId="0" xfId="1" applyNumberFormat="1" applyFont="1" applyFill="1" applyAlignment="1">
      <alignment vertical="center"/>
    </xf>
    <xf numFmtId="165" fontId="131" fillId="2" borderId="0" xfId="1" applyNumberFormat="1" applyFont="1" applyFill="1"/>
    <xf numFmtId="165" fontId="131" fillId="2" borderId="4" xfId="1" applyNumberFormat="1" applyFont="1" applyFill="1" applyBorder="1"/>
    <xf numFmtId="165" fontId="132" fillId="2" borderId="0" xfId="1" applyNumberFormat="1" applyFont="1" applyFill="1" applyAlignment="1">
      <alignment vertical="center"/>
    </xf>
    <xf numFmtId="165" fontId="132" fillId="2" borderId="0" xfId="1" applyNumberFormat="1" applyFont="1" applyFill="1"/>
    <xf numFmtId="165" fontId="132" fillId="2" borderId="4" xfId="1" applyNumberFormat="1" applyFont="1" applyFill="1" applyBorder="1"/>
    <xf numFmtId="3" fontId="137" fillId="3" borderId="0" xfId="0" applyNumberFormat="1" applyFont="1" applyFill="1" applyAlignment="1">
      <alignment horizontal="right" vertical="center"/>
    </xf>
    <xf numFmtId="3" fontId="0" fillId="2" borderId="0" xfId="0" applyNumberFormat="1" applyFill="1" applyAlignment="1">
      <alignment vertical="center"/>
    </xf>
    <xf numFmtId="3" fontId="16" fillId="3" borderId="0" xfId="0" applyNumberFormat="1" applyFont="1" applyFill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89" fillId="2" borderId="0" xfId="1" applyNumberFormat="1" applyFont="1" applyFill="1" applyAlignment="1">
      <alignment horizontal="right" vertical="center"/>
    </xf>
    <xf numFmtId="3" fontId="91" fillId="3" borderId="0" xfId="0" applyNumberFormat="1" applyFont="1" applyFill="1" applyAlignment="1">
      <alignment horizontal="right" vertical="center"/>
    </xf>
    <xf numFmtId="3" fontId="9" fillId="2" borderId="5" xfId="1" applyNumberFormat="1" applyFont="1" applyFill="1" applyBorder="1" applyAlignment="1">
      <alignment horizontal="right" vertical="center" indent="1"/>
    </xf>
    <xf numFmtId="3" fontId="131" fillId="2" borderId="5" xfId="1" applyNumberFormat="1" applyFont="1" applyFill="1" applyBorder="1" applyAlignment="1">
      <alignment horizontal="right" vertical="center" indent="1"/>
    </xf>
    <xf numFmtId="3" fontId="0" fillId="2" borderId="0" xfId="0" applyNumberFormat="1" applyFill="1"/>
    <xf numFmtId="188" fontId="47" fillId="2" borderId="0" xfId="3" applyNumberFormat="1" applyFont="1" applyFill="1" applyProtection="1">
      <alignment horizontal="right" vertical="center"/>
      <protection locked="0"/>
    </xf>
    <xf numFmtId="171" fontId="15" fillId="2" borderId="3" xfId="0" applyNumberFormat="1" applyFont="1" applyFill="1" applyBorder="1"/>
    <xf numFmtId="0" fontId="37" fillId="2" borderId="0" xfId="2" applyFont="1" applyFill="1" applyAlignment="1">
      <alignment horizontal="center" vertical="center"/>
    </xf>
    <xf numFmtId="165" fontId="0" fillId="0" borderId="0" xfId="0" applyNumberFormat="1"/>
    <xf numFmtId="175" fontId="31" fillId="2" borderId="0" xfId="0" applyNumberFormat="1" applyFont="1" applyFill="1"/>
    <xf numFmtId="171" fontId="31" fillId="2" borderId="0" xfId="0" applyNumberFormat="1" applyFont="1" applyFill="1"/>
    <xf numFmtId="0" fontId="141" fillId="2" borderId="2" xfId="0" applyFont="1" applyFill="1" applyBorder="1" applyAlignment="1">
      <alignment horizontal="center" vertical="center" wrapText="1"/>
    </xf>
    <xf numFmtId="0" fontId="142" fillId="2" borderId="2" xfId="0" applyFont="1" applyFill="1" applyBorder="1" applyAlignment="1">
      <alignment horizontal="center" vertical="center" wrapText="1"/>
    </xf>
    <xf numFmtId="0" fontId="143" fillId="2" borderId="0" xfId="0" applyFont="1" applyFill="1" applyAlignment="1">
      <alignment horizontal="center" vertical="center" wrapText="1"/>
    </xf>
    <xf numFmtId="3" fontId="141" fillId="2" borderId="3" xfId="1" applyNumberFormat="1" applyFont="1" applyFill="1" applyBorder="1"/>
    <xf numFmtId="3" fontId="144" fillId="2" borderId="0" xfId="0" applyNumberFormat="1" applyFont="1" applyFill="1"/>
    <xf numFmtId="3" fontId="142" fillId="2" borderId="3" xfId="1" applyNumberFormat="1" applyFont="1" applyFill="1" applyBorder="1"/>
    <xf numFmtId="0" fontId="145" fillId="2" borderId="0" xfId="0" applyFont="1" applyFill="1" applyAlignment="1">
      <alignment horizontal="center" vertical="center"/>
    </xf>
    <xf numFmtId="3" fontId="141" fillId="2" borderId="0" xfId="0" applyNumberFormat="1" applyFont="1" applyFill="1"/>
    <xf numFmtId="3" fontId="142" fillId="2" borderId="0" xfId="0" applyNumberFormat="1" applyFont="1" applyFill="1"/>
    <xf numFmtId="166" fontId="144" fillId="2" borderId="0" xfId="1" applyNumberFormat="1" applyFont="1" applyFill="1"/>
    <xf numFmtId="4" fontId="142" fillId="2" borderId="4" xfId="0" applyNumberFormat="1" applyFont="1" applyFill="1" applyBorder="1"/>
    <xf numFmtId="0" fontId="146" fillId="2" borderId="0" xfId="0" applyFont="1" applyFill="1" applyAlignment="1">
      <alignment horizontal="center" vertical="center"/>
    </xf>
    <xf numFmtId="0" fontId="142" fillId="2" borderId="0" xfId="0" applyFont="1" applyFill="1" applyAlignment="1">
      <alignment horizontal="center" vertical="center"/>
    </xf>
    <xf numFmtId="3" fontId="144" fillId="2" borderId="0" xfId="1" applyNumberFormat="1" applyFont="1" applyFill="1"/>
    <xf numFmtId="4" fontId="144" fillId="2" borderId="0" xfId="1" applyNumberFormat="1" applyFont="1" applyFill="1"/>
    <xf numFmtId="167" fontId="144" fillId="2" borderId="0" xfId="0" applyNumberFormat="1" applyFont="1" applyFill="1"/>
    <xf numFmtId="4" fontId="144" fillId="2" borderId="0" xfId="0" applyNumberFormat="1" applyFont="1" applyFill="1"/>
    <xf numFmtId="0" fontId="144" fillId="2" borderId="0" xfId="0" applyFont="1" applyFill="1" applyAlignment="1">
      <alignment horizontal="center" vertical="center" wrapText="1"/>
    </xf>
    <xf numFmtId="2" fontId="141" fillId="2" borderId="3" xfId="0" applyNumberFormat="1" applyFont="1" applyFill="1" applyBorder="1"/>
    <xf numFmtId="2" fontId="144" fillId="2" borderId="0" xfId="0" applyNumberFormat="1" applyFont="1" applyFill="1"/>
    <xf numFmtId="2" fontId="142" fillId="2" borderId="3" xfId="0" applyNumberFormat="1" applyFont="1" applyFill="1" applyBorder="1"/>
    <xf numFmtId="2" fontId="141" fillId="2" borderId="0" xfId="0" applyNumberFormat="1" applyFont="1" applyFill="1"/>
    <xf numFmtId="2" fontId="142" fillId="2" borderId="0" xfId="0" applyNumberFormat="1" applyFont="1" applyFill="1"/>
    <xf numFmtId="2" fontId="141" fillId="0" borderId="0" xfId="0" applyNumberFormat="1" applyFont="1"/>
    <xf numFmtId="4" fontId="141" fillId="2" borderId="4" xfId="0" applyNumberFormat="1" applyFont="1" applyFill="1" applyBorder="1"/>
    <xf numFmtId="0" fontId="145" fillId="2" borderId="0" xfId="0" applyFont="1" applyFill="1" applyAlignment="1">
      <alignment horizontal="center" vertical="center" wrapText="1"/>
    </xf>
    <xf numFmtId="0" fontId="147" fillId="2" borderId="0" xfId="0" applyFont="1" applyFill="1" applyAlignment="1">
      <alignment horizontal="left" vertical="center" indent="1"/>
    </xf>
    <xf numFmtId="165" fontId="141" fillId="2" borderId="0" xfId="1" applyNumberFormat="1" applyFont="1" applyFill="1"/>
    <xf numFmtId="165" fontId="141" fillId="2" borderId="0" xfId="1" applyNumberFormat="1" applyFont="1" applyFill="1" applyAlignment="1">
      <alignment vertical="center"/>
    </xf>
    <xf numFmtId="165" fontId="141" fillId="2" borderId="8" xfId="1" applyNumberFormat="1" applyFont="1" applyFill="1" applyBorder="1" applyAlignment="1">
      <alignment vertical="center"/>
    </xf>
    <xf numFmtId="0" fontId="145" fillId="35" borderId="7" xfId="0" applyFont="1" applyFill="1" applyBorder="1" applyAlignment="1">
      <alignment horizontal="center" vertical="center" wrapText="1"/>
    </xf>
    <xf numFmtId="0" fontId="148" fillId="2" borderId="5" xfId="0" applyFont="1" applyFill="1" applyBorder="1"/>
    <xf numFmtId="166" fontId="141" fillId="2" borderId="5" xfId="1" applyNumberFormat="1" applyFont="1" applyFill="1" applyBorder="1" applyAlignment="1">
      <alignment horizontal="right" vertical="center"/>
    </xf>
    <xf numFmtId="166" fontId="146" fillId="2" borderId="5" xfId="1" applyNumberFormat="1" applyFont="1" applyFill="1" applyBorder="1" applyAlignment="1">
      <alignment horizontal="right" vertical="center"/>
    </xf>
    <xf numFmtId="0" fontId="145" fillId="2" borderId="0" xfId="0" applyFont="1" applyFill="1" applyAlignment="1">
      <alignment horizontal="left" indent="1"/>
    </xf>
    <xf numFmtId="0" fontId="148" fillId="2" borderId="0" xfId="0" applyFont="1" applyFill="1"/>
    <xf numFmtId="1" fontId="145" fillId="2" borderId="0" xfId="0" applyNumberFormat="1" applyFont="1" applyFill="1" applyAlignment="1">
      <alignment horizontal="right" vertical="center"/>
    </xf>
    <xf numFmtId="173" fontId="141" fillId="2" borderId="0" xfId="1" applyNumberFormat="1" applyFont="1" applyFill="1" applyAlignment="1">
      <alignment vertical="center"/>
    </xf>
    <xf numFmtId="3" fontId="149" fillId="3" borderId="0" xfId="0" applyNumberFormat="1" applyFont="1" applyFill="1" applyAlignment="1">
      <alignment horizontal="right" vertical="center"/>
    </xf>
    <xf numFmtId="166" fontId="149" fillId="3" borderId="0" xfId="0" applyNumberFormat="1" applyFont="1" applyFill="1" applyAlignment="1">
      <alignment horizontal="right" vertical="center"/>
    </xf>
    <xf numFmtId="3" fontId="9" fillId="2" borderId="5" xfId="1" applyNumberFormat="1" applyFont="1" applyFill="1" applyBorder="1" applyAlignment="1">
      <alignment horizontal="right" vertical="center"/>
    </xf>
    <xf numFmtId="3" fontId="12" fillId="2" borderId="5" xfId="1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5" fillId="2" borderId="5" xfId="1" applyNumberFormat="1" applyFont="1" applyFill="1" applyBorder="1" applyAlignment="1">
      <alignment horizontal="right" vertical="center"/>
    </xf>
    <xf numFmtId="1" fontId="150" fillId="0" borderId="35" xfId="0" applyNumberFormat="1" applyFont="1" applyBorder="1" applyAlignment="1">
      <alignment horizontal="center" vertical="center" wrapText="1"/>
    </xf>
    <xf numFmtId="0" fontId="151" fillId="2" borderId="1" xfId="0" applyFont="1" applyFill="1" applyBorder="1" applyAlignment="1">
      <alignment vertical="center"/>
    </xf>
    <xf numFmtId="0" fontId="152" fillId="2" borderId="1" xfId="0" applyFont="1" applyFill="1" applyBorder="1" applyAlignment="1">
      <alignment vertical="center"/>
    </xf>
    <xf numFmtId="0" fontId="146" fillId="2" borderId="2" xfId="0" applyFont="1" applyFill="1" applyBorder="1" applyAlignment="1">
      <alignment horizontal="center" vertical="center" wrapText="1"/>
    </xf>
    <xf numFmtId="0" fontId="144" fillId="2" borderId="0" xfId="0" applyFont="1" applyFill="1" applyAlignment="1">
      <alignment horizontal="left" vertical="center"/>
    </xf>
    <xf numFmtId="165" fontId="141" fillId="2" borderId="3" xfId="1" applyNumberFormat="1" applyFont="1" applyFill="1" applyBorder="1"/>
    <xf numFmtId="165" fontId="142" fillId="2" borderId="3" xfId="1" applyNumberFormat="1" applyFont="1" applyFill="1" applyBorder="1"/>
    <xf numFmtId="0" fontId="153" fillId="2" borderId="0" xfId="0" applyFont="1" applyFill="1"/>
    <xf numFmtId="165" fontId="142" fillId="2" borderId="0" xfId="1" applyNumberFormat="1" applyFont="1" applyFill="1" applyAlignment="1">
      <alignment vertical="center"/>
    </xf>
    <xf numFmtId="165" fontId="142" fillId="2" borderId="0" xfId="1" applyNumberFormat="1" applyFont="1" applyFill="1"/>
    <xf numFmtId="165" fontId="141" fillId="2" borderId="4" xfId="1" applyNumberFormat="1" applyFont="1" applyFill="1" applyBorder="1"/>
    <xf numFmtId="165" fontId="142" fillId="2" borderId="4" xfId="1" applyNumberFormat="1" applyFont="1" applyFill="1" applyBorder="1"/>
    <xf numFmtId="165" fontId="144" fillId="2" borderId="0" xfId="1" applyNumberFormat="1" applyFont="1" applyFill="1"/>
    <xf numFmtId="2" fontId="154" fillId="0" borderId="41" xfId="0" applyNumberFormat="1" applyFont="1" applyBorder="1" applyAlignment="1">
      <alignment horizontal="center" vertical="center" wrapText="1"/>
    </xf>
    <xf numFmtId="2" fontId="154" fillId="0" borderId="42" xfId="0" applyNumberFormat="1" applyFont="1" applyBorder="1" applyAlignment="1">
      <alignment horizontal="center" vertical="center" wrapText="1"/>
    </xf>
    <xf numFmtId="189" fontId="4" fillId="2" borderId="4" xfId="1" applyNumberFormat="1" applyFont="1" applyFill="1" applyBorder="1"/>
    <xf numFmtId="189" fontId="4" fillId="2" borderId="4" xfId="1" applyNumberFormat="1" applyFont="1" applyFill="1" applyBorder="1" applyAlignment="1">
      <alignment horizontal="center" vertical="center"/>
    </xf>
    <xf numFmtId="189" fontId="4" fillId="2" borderId="0" xfId="1" applyNumberFormat="1" applyFont="1" applyFill="1" applyAlignment="1">
      <alignment horizontal="center" vertical="center"/>
    </xf>
    <xf numFmtId="189" fontId="141" fillId="0" borderId="4" xfId="1" applyNumberFormat="1" applyFont="1" applyBorder="1"/>
    <xf numFmtId="189" fontId="145" fillId="2" borderId="0" xfId="1" applyNumberFormat="1" applyFont="1" applyFill="1" applyAlignment="1">
      <alignment horizontal="center" vertical="center"/>
    </xf>
    <xf numFmtId="189" fontId="144" fillId="2" borderId="0" xfId="1" applyNumberFormat="1" applyFont="1" applyFill="1"/>
    <xf numFmtId="189" fontId="142" fillId="2" borderId="4" xfId="1" applyNumberFormat="1" applyFont="1" applyFill="1" applyBorder="1"/>
    <xf numFmtId="189" fontId="132" fillId="2" borderId="4" xfId="1" applyNumberFormat="1" applyFont="1" applyFill="1" applyBorder="1"/>
    <xf numFmtId="189" fontId="131" fillId="0" borderId="4" xfId="1" applyNumberFormat="1" applyFont="1" applyBorder="1"/>
    <xf numFmtId="189" fontId="9" fillId="0" borderId="4" xfId="1" applyNumberFormat="1" applyFont="1" applyBorder="1"/>
    <xf numFmtId="189" fontId="39" fillId="2" borderId="0" xfId="1" applyNumberFormat="1" applyFont="1" applyFill="1" applyBorder="1"/>
    <xf numFmtId="189" fontId="38" fillId="2" borderId="4" xfId="1" applyNumberFormat="1" applyFont="1" applyFill="1" applyBorder="1"/>
    <xf numFmtId="189" fontId="38" fillId="2" borderId="0" xfId="1" applyNumberFormat="1" applyFont="1" applyFill="1"/>
    <xf numFmtId="189" fontId="23" fillId="0" borderId="4" xfId="1" applyNumberFormat="1" applyFont="1" applyBorder="1"/>
    <xf numFmtId="189" fontId="38" fillId="2" borderId="0" xfId="1" applyNumberFormat="1" applyFont="1" applyFill="1" applyBorder="1"/>
    <xf numFmtId="189" fontId="38" fillId="2" borderId="0" xfId="1" applyNumberFormat="1" applyFont="1" applyFill="1" applyAlignment="1">
      <alignment horizontal="center" vertical="center"/>
    </xf>
    <xf numFmtId="189" fontId="38" fillId="0" borderId="4" xfId="1" applyNumberFormat="1" applyFont="1" applyBorder="1"/>
    <xf numFmtId="189" fontId="61" fillId="0" borderId="4" xfId="1" applyNumberFormat="1" applyFont="1" applyFill="1" applyBorder="1"/>
    <xf numFmtId="189" fontId="39" fillId="2" borderId="4" xfId="1" applyNumberFormat="1" applyFont="1" applyFill="1" applyBorder="1"/>
    <xf numFmtId="189" fontId="39" fillId="2" borderId="0" xfId="1" applyNumberFormat="1" applyFont="1" applyFill="1" applyAlignment="1">
      <alignment horizontal="center" vertical="center"/>
    </xf>
    <xf numFmtId="189" fontId="41" fillId="2" borderId="4" xfId="1" applyNumberFormat="1" applyFont="1" applyFill="1" applyBorder="1"/>
    <xf numFmtId="189" fontId="4" fillId="2" borderId="0" xfId="1" applyNumberFormat="1" applyFont="1" applyFill="1"/>
    <xf numFmtId="189" fontId="39" fillId="2" borderId="4" xfId="1" applyNumberFormat="1" applyFont="1" applyFill="1" applyBorder="1" applyAlignment="1">
      <alignment horizontal="center" vertical="center"/>
    </xf>
    <xf numFmtId="189" fontId="41" fillId="2" borderId="0" xfId="1" applyNumberFormat="1" applyFont="1" applyFill="1"/>
    <xf numFmtId="189" fontId="39" fillId="2" borderId="0" xfId="1" applyNumberFormat="1" applyFont="1" applyFill="1"/>
    <xf numFmtId="189" fontId="40" fillId="2" borderId="0" xfId="1" applyNumberFormat="1" applyFont="1" applyFill="1"/>
    <xf numFmtId="189" fontId="0" fillId="2" borderId="0" xfId="1" applyNumberFormat="1" applyFont="1" applyFill="1"/>
    <xf numFmtId="0" fontId="134" fillId="2" borderId="9" xfId="0" applyFont="1" applyFill="1" applyBorder="1" applyAlignment="1">
      <alignment horizontal="center" vertical="center" wrapText="1"/>
    </xf>
    <xf numFmtId="0" fontId="127" fillId="2" borderId="9" xfId="0" applyFont="1" applyFill="1" applyBorder="1" applyAlignment="1">
      <alignment horizontal="center" vertical="center" wrapText="1"/>
    </xf>
    <xf numFmtId="0" fontId="97" fillId="2" borderId="9" xfId="0" applyFont="1" applyFill="1" applyBorder="1" applyAlignment="1">
      <alignment horizontal="center" vertical="center" wrapText="1"/>
    </xf>
    <xf numFmtId="0" fontId="39" fillId="2" borderId="9" xfId="0" applyFont="1" applyFill="1" applyBorder="1" applyAlignment="1">
      <alignment horizontal="center" vertical="center" wrapText="1"/>
    </xf>
    <xf numFmtId="0" fontId="84" fillId="2" borderId="9" xfId="0" applyFont="1" applyFill="1" applyBorder="1" applyAlignment="1">
      <alignment horizontal="center" vertical="center" wrapText="1"/>
    </xf>
    <xf numFmtId="0" fontId="38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44" fillId="2" borderId="9" xfId="0" applyFont="1" applyFill="1" applyBorder="1" applyAlignment="1">
      <alignment horizontal="center" vertical="center" wrapText="1"/>
    </xf>
    <xf numFmtId="0" fontId="31" fillId="4" borderId="0" xfId="0" applyFont="1" applyFill="1"/>
    <xf numFmtId="0" fontId="0" fillId="0" borderId="0" xfId="0"/>
    <xf numFmtId="0" fontId="0" fillId="2" borderId="43" xfId="0" applyFill="1" applyBorder="1"/>
    <xf numFmtId="0" fontId="0" fillId="0" borderId="43" xfId="0" applyBorder="1"/>
    <xf numFmtId="0" fontId="27" fillId="4" borderId="1" xfId="0" applyFont="1" applyFill="1" applyBorder="1" applyAlignment="1">
      <alignment horizontal="left" vertical="center"/>
    </xf>
    <xf numFmtId="0" fontId="0" fillId="0" borderId="1" xfId="0" applyBorder="1"/>
    <xf numFmtId="0" fontId="27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7" fillId="4" borderId="0" xfId="0" applyFont="1" applyFill="1" applyAlignment="1">
      <alignment horizontal="left" vertical="center"/>
    </xf>
    <xf numFmtId="0" fontId="27" fillId="4" borderId="59" xfId="0" applyFont="1" applyFill="1" applyBorder="1" applyAlignment="1">
      <alignment vertical="center"/>
    </xf>
    <xf numFmtId="0" fontId="0" fillId="4" borderId="1" xfId="0" applyFill="1" applyBorder="1"/>
  </cellXfs>
  <cellStyles count="1066">
    <cellStyle name="20% - akcent 1 10" xfId="14" xr:uid="{51DE6250-B3A2-4A90-9BE6-4C7DA306C216}"/>
    <cellStyle name="20% - akcent 1 10 2" xfId="15" xr:uid="{36FCD9A2-2817-498C-8729-597B181E3C3E}"/>
    <cellStyle name="20% - akcent 1 10 2 2" xfId="16" xr:uid="{C7FFFA4C-D8F4-43CA-91E2-132305A39D1C}"/>
    <cellStyle name="20% - akcent 1 10 3" xfId="17" xr:uid="{A1AE63D3-CD83-43C9-AAD2-48BAA7A5CB7A}"/>
    <cellStyle name="20% - akcent 1 10_konsopro330" xfId="18" xr:uid="{8E271215-6A9C-4E1E-B65B-9D28DA88781B}"/>
    <cellStyle name="20% - akcent 1 11" xfId="19" xr:uid="{064A41CC-B3D6-4A6E-B381-AAE51359DB20}"/>
    <cellStyle name="20% - akcent 1 11 2" xfId="20" xr:uid="{EA87F8CC-C91E-41F1-96DC-29723FB1DB44}"/>
    <cellStyle name="20% - akcent 1 12" xfId="21" xr:uid="{13005F7D-92F4-480B-A857-73AD62101D73}"/>
    <cellStyle name="20% - akcent 1 2" xfId="22" xr:uid="{EBCBDC83-4B87-45B7-9956-E260E7BE298E}"/>
    <cellStyle name="20% — akcent 1 2" xfId="13" xr:uid="{C1368011-3CD6-4A3E-B5E3-E6870F1FDA98}"/>
    <cellStyle name="20% - akcent 1 2 2" xfId="23" xr:uid="{95C09833-B17E-46C1-ABA8-01BB5ACEE9BB}"/>
    <cellStyle name="20% - akcent 1 2 2 2" xfId="24" xr:uid="{24CA416E-B717-42FE-841A-235BBA61CAAF}"/>
    <cellStyle name="20% - akcent 1 2 3" xfId="25" xr:uid="{1FC609BB-F162-42D0-9B3E-D7B3EDCC8436}"/>
    <cellStyle name="20% - akcent 1 2_konsopro330" xfId="26" xr:uid="{FC621C12-35A5-4140-A934-FD6761BF5B91}"/>
    <cellStyle name="20% - akcent 1 3" xfId="27" xr:uid="{7195DFB4-AAA2-4097-A80C-10465F259941}"/>
    <cellStyle name="20% — akcent 1 3" xfId="955" xr:uid="{9C12638E-972E-4693-A8B5-9122022611CF}"/>
    <cellStyle name="20% - akcent 1 3 2" xfId="28" xr:uid="{74F6685B-3719-43A5-BE38-582A0A274BBA}"/>
    <cellStyle name="20% - akcent 1 3 2 2" xfId="29" xr:uid="{0BBE163E-E583-49F0-8D2B-4A03D4FC73B8}"/>
    <cellStyle name="20% - akcent 1 3 3" xfId="30" xr:uid="{A8C138EF-2CE8-45A1-B0E8-7064DF5C4C12}"/>
    <cellStyle name="20% - akcent 1 3_konsopro330" xfId="31" xr:uid="{B7487DE4-6939-4E37-94A8-9B0C9ADF5211}"/>
    <cellStyle name="20% - akcent 1 4" xfId="32" xr:uid="{9D3E1836-83F8-4954-8E5E-6EDB1F65CA5B}"/>
    <cellStyle name="20% — akcent 1 4" xfId="989" xr:uid="{E04688EF-ED23-4DDC-920F-E7CC479BD481}"/>
    <cellStyle name="20% - akcent 1 4 2" xfId="33" xr:uid="{B2857CF0-1F8D-4D4E-BEB0-632BE780B62C}"/>
    <cellStyle name="20% - akcent 1 4 2 2" xfId="34" xr:uid="{071BD850-765E-4910-B10A-858ECF322B4C}"/>
    <cellStyle name="20% - akcent 1 4 3" xfId="35" xr:uid="{6C855387-C249-4380-A042-902BADF923AD}"/>
    <cellStyle name="20% - akcent 1 4_konsopro330" xfId="36" xr:uid="{8D70E48D-2619-42FB-90AA-64D9D087EC1C}"/>
    <cellStyle name="20% - akcent 1 5" xfId="37" xr:uid="{8F8460F0-EA0E-4CD8-AD38-D195CD8E5378}"/>
    <cellStyle name="20% - akcent 1 5 2" xfId="38" xr:uid="{33543B81-27BC-4EB1-B476-6ACC2E7B33EE}"/>
    <cellStyle name="20% - akcent 1 5 2 2" xfId="39" xr:uid="{9826D2B8-56EB-41F7-B2EB-0CA9206E76AF}"/>
    <cellStyle name="20% - akcent 1 5 3" xfId="40" xr:uid="{A9F5A432-6D23-4426-90C0-82CD46B88E08}"/>
    <cellStyle name="20% - akcent 1 5_konsopro330" xfId="41" xr:uid="{B7185E68-6280-49DD-951A-DB89D7734C86}"/>
    <cellStyle name="20% - akcent 1 6" xfId="42" xr:uid="{B5FA11A4-1576-4573-B7CE-726A56F4D83C}"/>
    <cellStyle name="20% - akcent 1 6 2" xfId="43" xr:uid="{50F38F14-3052-4E98-9FF8-8A2D04BB4341}"/>
    <cellStyle name="20% - akcent 1 6 2 2" xfId="44" xr:uid="{DF2E4BA4-2943-407D-92D3-FE2B433DD885}"/>
    <cellStyle name="20% - akcent 1 6 3" xfId="45" xr:uid="{5F8B1469-AC31-4099-914B-37C9E13C137B}"/>
    <cellStyle name="20% - akcent 1 6_konsopro330" xfId="46" xr:uid="{ACEA7685-9852-400A-94B1-4BCD000C702E}"/>
    <cellStyle name="20% - akcent 1 7" xfId="47" xr:uid="{6A986E17-D382-4461-B070-1ED79B29652D}"/>
    <cellStyle name="20% - akcent 1 7 2" xfId="48" xr:uid="{C18C8AFA-4F3C-452A-BCFC-249A343D6117}"/>
    <cellStyle name="20% - akcent 1 7 2 2" xfId="49" xr:uid="{DF4C8999-EC02-4363-9C10-3296B3422B27}"/>
    <cellStyle name="20% - akcent 1 7 3" xfId="50" xr:uid="{6FBC5F3D-39BE-4BEF-AF6D-FBE0D1458AEB}"/>
    <cellStyle name="20% - akcent 1 7_konsopro330" xfId="51" xr:uid="{7542F9CA-4218-4576-A1EF-C6D91968C477}"/>
    <cellStyle name="20% - akcent 1 8" xfId="52" xr:uid="{B6778B3A-9B2C-4026-BAE0-BBCE497BD56A}"/>
    <cellStyle name="20% - akcent 1 8 2" xfId="53" xr:uid="{9E35DBF0-5DE9-43F4-81AD-788AD18ABCEC}"/>
    <cellStyle name="20% - akcent 1 8 2 2" xfId="54" xr:uid="{551C7FA3-B869-47CD-9B17-0592D3554992}"/>
    <cellStyle name="20% - akcent 1 8 3" xfId="55" xr:uid="{841B1411-5C86-49A9-A876-B499940F8FB0}"/>
    <cellStyle name="20% - akcent 1 8_konsopro330" xfId="56" xr:uid="{1CC6787B-6C2A-46FC-AA6D-2679FFBB7E12}"/>
    <cellStyle name="20% - akcent 1 9" xfId="57" xr:uid="{4D6B5E65-E9C1-447B-B83B-C97C2FE0A67F}"/>
    <cellStyle name="20% - akcent 1 9 2" xfId="58" xr:uid="{5DD60266-0788-4DD8-888A-B0852B257C74}"/>
    <cellStyle name="20% - akcent 1 9 2 2" xfId="59" xr:uid="{45BF310E-EDB7-447F-8E43-B39B6E88DB4E}"/>
    <cellStyle name="20% - akcent 1 9 3" xfId="60" xr:uid="{D131A7AE-65C1-4030-863A-E6BC3BDADB8A}"/>
    <cellStyle name="20% - akcent 1 9_konsopro330" xfId="61" xr:uid="{52782835-932E-4C53-B51E-8C896D9077C1}"/>
    <cellStyle name="20% - akcent 2 10" xfId="63" xr:uid="{92D6A7C7-703C-4AE7-8B5E-CB59439F0767}"/>
    <cellStyle name="20% - akcent 2 10 2" xfId="64" xr:uid="{7E3FCEAF-D9FD-469D-9C6C-457440B5DEAF}"/>
    <cellStyle name="20% - akcent 2 10 2 2" xfId="65" xr:uid="{24EBDDE9-DE2D-48F4-9FAF-83F7B6F6E9D9}"/>
    <cellStyle name="20% - akcent 2 10 3" xfId="66" xr:uid="{23003C31-B664-42DC-8E72-B0036FC79155}"/>
    <cellStyle name="20% - akcent 2 10_konsopro330" xfId="67" xr:uid="{510E987B-152C-46E6-812B-7BEB50420533}"/>
    <cellStyle name="20% - akcent 2 11" xfId="68" xr:uid="{A1701CA9-DA7C-4D5A-A286-92E3212BBCD4}"/>
    <cellStyle name="20% - akcent 2 11 2" xfId="69" xr:uid="{B4E2BE5A-DC8F-4361-BAF7-31CCABE750E0}"/>
    <cellStyle name="20% - akcent 2 12" xfId="70" xr:uid="{C6173702-72AC-4243-B12E-025157A24317}"/>
    <cellStyle name="20% - akcent 2 2" xfId="71" xr:uid="{D24B6D30-0453-4150-8EB0-B0CD86D76311}"/>
    <cellStyle name="20% — akcent 2 2" xfId="62" xr:uid="{C1A38E74-D1EC-4B5E-8E4D-C638626D7FD9}"/>
    <cellStyle name="20% - akcent 2 2 2" xfId="72" xr:uid="{50FA0942-4648-45D7-89CD-9FC875CBEA14}"/>
    <cellStyle name="20% - akcent 2 2 2 2" xfId="73" xr:uid="{4B18C240-BCBC-48CE-BA8C-F2B9883228E3}"/>
    <cellStyle name="20% - akcent 2 2 3" xfId="74" xr:uid="{3EAFDE16-AFFB-4A40-82F0-4E28715FEC7D}"/>
    <cellStyle name="20% - akcent 2 2_konsopro330" xfId="75" xr:uid="{BE662CBE-0E85-4B67-A238-51953F19E2B4}"/>
    <cellStyle name="20% - akcent 2 3" xfId="76" xr:uid="{53AB72F6-D301-4B86-8124-D666B348F6BC}"/>
    <cellStyle name="20% — akcent 2 3" xfId="956" xr:uid="{F42D76E7-D29C-4099-A620-1830F4D6D5E1}"/>
    <cellStyle name="20% - akcent 2 3 2" xfId="77" xr:uid="{C0F85334-2769-4B96-9AE9-A00E042C69B0}"/>
    <cellStyle name="20% - akcent 2 3 2 2" xfId="78" xr:uid="{469B2D84-3027-40A1-A78C-3CCE96372FEF}"/>
    <cellStyle name="20% - akcent 2 3 3" xfId="79" xr:uid="{672699AC-CA24-4CF6-BBE8-71E6A483E90B}"/>
    <cellStyle name="20% - akcent 2 3_konsopro330" xfId="80" xr:uid="{2C5DEF4D-C385-4FB1-BA4A-DE870EBFFBF1}"/>
    <cellStyle name="20% - akcent 2 4" xfId="81" xr:uid="{8C9220F7-7B38-4211-8E0C-A6095266C94F}"/>
    <cellStyle name="20% — akcent 2 4" xfId="988" xr:uid="{2624F0BE-C2D8-4E3D-81DB-22DFBDF96410}"/>
    <cellStyle name="20% - akcent 2 4 2" xfId="82" xr:uid="{251065DC-DB1D-4FC4-8997-7E5ED7B49324}"/>
    <cellStyle name="20% - akcent 2 4 2 2" xfId="83" xr:uid="{6C5FF699-BA34-4375-8AE3-757680B00160}"/>
    <cellStyle name="20% - akcent 2 4 3" xfId="84" xr:uid="{7B5FA52F-056F-40B3-A292-ACDAA32A80D1}"/>
    <cellStyle name="20% - akcent 2 4_konsopro330" xfId="85" xr:uid="{F60E4693-210D-4588-9F50-5AA70766945D}"/>
    <cellStyle name="20% - akcent 2 5" xfId="86" xr:uid="{1C7DCC79-F7FA-4033-BBDD-D8BE480C2E67}"/>
    <cellStyle name="20% - akcent 2 5 2" xfId="87" xr:uid="{1B4E29B9-C614-4F9F-B1D6-85EB5DA7135C}"/>
    <cellStyle name="20% - akcent 2 5 2 2" xfId="88" xr:uid="{790803C8-2B25-4B86-BAEA-369FF9C16211}"/>
    <cellStyle name="20% - akcent 2 5 3" xfId="89" xr:uid="{05CBB281-0B4C-4878-805D-1B717F1BD37D}"/>
    <cellStyle name="20% - akcent 2 5_konsopro330" xfId="90" xr:uid="{11FB9B0E-D644-4177-98AF-37EC8D9AA854}"/>
    <cellStyle name="20% - akcent 2 6" xfId="91" xr:uid="{65D2A73D-AED4-4EEE-B484-9C183BF8023E}"/>
    <cellStyle name="20% - akcent 2 6 2" xfId="92" xr:uid="{8ED17C93-2D7F-40BC-B854-F98AB4FA1C65}"/>
    <cellStyle name="20% - akcent 2 6 2 2" xfId="93" xr:uid="{9A4A2FB5-403E-49A8-80E3-C1307278C354}"/>
    <cellStyle name="20% - akcent 2 6 3" xfId="94" xr:uid="{A0C0B0B3-B46A-4D51-8E18-3B6CE738AAE8}"/>
    <cellStyle name="20% - akcent 2 6_konsopro330" xfId="95" xr:uid="{08F891FE-69D6-400E-8750-C43A575DFFF6}"/>
    <cellStyle name="20% - akcent 2 7" xfId="96" xr:uid="{B49F4E9B-2B68-4D5A-A2BC-54E43318199B}"/>
    <cellStyle name="20% - akcent 2 7 2" xfId="97" xr:uid="{F58130F9-C9D4-4A9A-986E-6ED9D0811E26}"/>
    <cellStyle name="20% - akcent 2 7 2 2" xfId="98" xr:uid="{24855F2C-1389-4C24-ABE5-F8718C846F93}"/>
    <cellStyle name="20% - akcent 2 7 3" xfId="99" xr:uid="{44031361-BB4E-4BE2-94D1-3A4AD04219B0}"/>
    <cellStyle name="20% - akcent 2 7_konsopro330" xfId="100" xr:uid="{2174A904-2043-4B26-854B-55E291810C5C}"/>
    <cellStyle name="20% - akcent 2 8" xfId="101" xr:uid="{13D55B32-F56D-4AFA-ADD7-91CAA2D7A37D}"/>
    <cellStyle name="20% - akcent 2 8 2" xfId="102" xr:uid="{4AD3B8A3-172D-4E6E-941B-1B55746B1BC4}"/>
    <cellStyle name="20% - akcent 2 8 2 2" xfId="103" xr:uid="{FE32333B-947E-4131-BEE6-9B91A4C38EC9}"/>
    <cellStyle name="20% - akcent 2 8 3" xfId="104" xr:uid="{36455BE6-78E4-4DA7-8C65-6F29F099D471}"/>
    <cellStyle name="20% - akcent 2 8_konsopro330" xfId="105" xr:uid="{30CBD065-CFAE-4CB2-BAA4-569A1006285E}"/>
    <cellStyle name="20% - akcent 2 9" xfId="106" xr:uid="{78ACCC82-D157-4384-83B5-CD8D68510C73}"/>
    <cellStyle name="20% - akcent 2 9 2" xfId="107" xr:uid="{62F915D8-D9F7-4806-88F5-A842BCF6CBA9}"/>
    <cellStyle name="20% - akcent 2 9 2 2" xfId="108" xr:uid="{43D798AA-BB4E-489F-9043-AD1B9716899F}"/>
    <cellStyle name="20% - akcent 2 9 3" xfId="109" xr:uid="{C3149C14-01EC-4039-B843-3F55AE984F42}"/>
    <cellStyle name="20% - akcent 2 9_konsopro330" xfId="110" xr:uid="{C6977912-80E3-4334-AF1C-C2E5461720B3}"/>
    <cellStyle name="20% - akcent 3 10" xfId="112" xr:uid="{3213EDA9-4E5F-4BD5-8F9C-A847DADEA53D}"/>
    <cellStyle name="20% - akcent 3 10 2" xfId="113" xr:uid="{6C96DCE4-E603-4260-8DD8-CDF40B9B0F30}"/>
    <cellStyle name="20% - akcent 3 10 2 2" xfId="114" xr:uid="{C95504A1-6864-4C9B-9135-E9BDCF0B8EC6}"/>
    <cellStyle name="20% - akcent 3 10 3" xfId="115" xr:uid="{B755B706-5534-4C58-B5DC-4B1439ACA3B0}"/>
    <cellStyle name="20% - akcent 3 10_konsopro330" xfId="116" xr:uid="{C3A2E93C-6ADE-41DA-AC14-2EB588EE94FC}"/>
    <cellStyle name="20% - akcent 3 11" xfId="117" xr:uid="{6766184A-EC74-4B5F-92A1-655DA9790B11}"/>
    <cellStyle name="20% - akcent 3 11 2" xfId="118" xr:uid="{F3EC5CF4-399E-4275-9E8B-0FF4E2E0FECE}"/>
    <cellStyle name="20% - akcent 3 12" xfId="119" xr:uid="{31BE388D-F921-414D-9C12-5696606B81F5}"/>
    <cellStyle name="20% - akcent 3 2" xfId="120" xr:uid="{C2DCB150-0F83-4CDF-909B-70A9155A0FE8}"/>
    <cellStyle name="20% — akcent 3 2" xfId="111" xr:uid="{C41BFF58-9F88-482F-9789-EE1F96B5D18A}"/>
    <cellStyle name="20% - akcent 3 2 2" xfId="121" xr:uid="{5842A976-54CF-4E2B-AB77-5ABD70BD59C5}"/>
    <cellStyle name="20% - akcent 3 2 2 2" xfId="122" xr:uid="{8491E8B8-8164-45F5-8E2C-3A954902283F}"/>
    <cellStyle name="20% - akcent 3 2 3" xfId="123" xr:uid="{1A252CB2-36DF-4D71-B434-8FD7966CA898}"/>
    <cellStyle name="20% - akcent 3 2_konsopro330" xfId="124" xr:uid="{BCA5D61D-312E-4EAD-A939-6AC849A8F179}"/>
    <cellStyle name="20% - akcent 3 3" xfId="125" xr:uid="{97554084-55E7-49BB-9CFB-4739FD229461}"/>
    <cellStyle name="20% — akcent 3 3" xfId="957" xr:uid="{C0D4497F-E2EC-441B-8DF2-0F695774882D}"/>
    <cellStyle name="20% - akcent 3 3 2" xfId="126" xr:uid="{5387D168-F32D-4780-AC2C-8CEAA732FECE}"/>
    <cellStyle name="20% - akcent 3 3 2 2" xfId="127" xr:uid="{C7F91B6A-DD56-446A-B430-FDEF777E78AC}"/>
    <cellStyle name="20% - akcent 3 3 3" xfId="128" xr:uid="{2F72E788-30EF-4168-88BC-26018BB38A74}"/>
    <cellStyle name="20% - akcent 3 3_konsopro330" xfId="129" xr:uid="{346431AA-E3D1-4261-96EA-D1085CFF93FD}"/>
    <cellStyle name="20% - akcent 3 4" xfId="130" xr:uid="{39FE3AA2-D57A-41A1-AF4C-606C32D81113}"/>
    <cellStyle name="20% — akcent 3 4" xfId="990" xr:uid="{DE46BDFC-EF8B-40F6-984C-7392B4FD8751}"/>
    <cellStyle name="20% - akcent 3 4 2" xfId="131" xr:uid="{1504F6C5-E96F-4DA1-BDC7-000746AB85E9}"/>
    <cellStyle name="20% - akcent 3 4 2 2" xfId="132" xr:uid="{633BFFEF-E98C-4944-9CF1-CCB546E4A799}"/>
    <cellStyle name="20% - akcent 3 4 3" xfId="133" xr:uid="{02D8EC36-9237-48AC-BAFD-31F25081BD03}"/>
    <cellStyle name="20% - akcent 3 4_konsopro330" xfId="134" xr:uid="{905CD25B-9BC7-47CE-AF3E-0E2DCEF2C4F9}"/>
    <cellStyle name="20% - akcent 3 5" xfId="135" xr:uid="{E2419E88-5F62-4288-A946-225C8FB83DEE}"/>
    <cellStyle name="20% - akcent 3 5 2" xfId="136" xr:uid="{3B9E5D4A-A249-4CDC-8EFE-C2B1E4735F8C}"/>
    <cellStyle name="20% - akcent 3 5 2 2" xfId="137" xr:uid="{F7FA8E22-EDF4-43DE-849A-3A105961A40E}"/>
    <cellStyle name="20% - akcent 3 5 3" xfId="138" xr:uid="{3AB584F7-05A0-4BCE-9C4F-FCCE0F8E0D7A}"/>
    <cellStyle name="20% - akcent 3 5_konsopro330" xfId="139" xr:uid="{3998C5C2-56D8-4979-BEB0-1A2EF00EF621}"/>
    <cellStyle name="20% - akcent 3 6" xfId="140" xr:uid="{CB3D6CC5-C6BF-4004-9B07-63A72EA01375}"/>
    <cellStyle name="20% - akcent 3 6 2" xfId="141" xr:uid="{0BB1BAB3-1AB2-4AD4-BE8E-306A5AD0E531}"/>
    <cellStyle name="20% - akcent 3 6 2 2" xfId="142" xr:uid="{F636A871-B1DB-498E-BC17-6C9CA83C0DA9}"/>
    <cellStyle name="20% - akcent 3 6 3" xfId="143" xr:uid="{83B3D6D2-3D02-4271-89D2-C0D8C1EF90A8}"/>
    <cellStyle name="20% - akcent 3 6_konsopro330" xfId="144" xr:uid="{C77F496A-D8FF-477F-8B9A-73907B9AB966}"/>
    <cellStyle name="20% - akcent 3 7" xfId="145" xr:uid="{69CED244-690D-42E2-A73D-834E90D63693}"/>
    <cellStyle name="20% - akcent 3 7 2" xfId="146" xr:uid="{8532C8C9-C6EB-4FE0-B92C-3E7F16CF0C2A}"/>
    <cellStyle name="20% - akcent 3 7 2 2" xfId="147" xr:uid="{BE7FAF6C-CFFF-4287-AED0-BF462C93836E}"/>
    <cellStyle name="20% - akcent 3 7 3" xfId="148" xr:uid="{A4B93F81-0AD4-4286-B035-4BC80077179E}"/>
    <cellStyle name="20% - akcent 3 7_konsopro330" xfId="149" xr:uid="{E01D530E-F0C7-4948-8868-CF06E835EA5F}"/>
    <cellStyle name="20% - akcent 3 8" xfId="150" xr:uid="{12AEEDA7-18FC-48B0-B5F6-D70F5817E525}"/>
    <cellStyle name="20% - akcent 3 8 2" xfId="151" xr:uid="{E022F450-4217-4705-8D60-6469B45B1787}"/>
    <cellStyle name="20% - akcent 3 8 2 2" xfId="152" xr:uid="{5DFB8CDE-86B7-4718-AC78-97C7ED738E08}"/>
    <cellStyle name="20% - akcent 3 8 3" xfId="153" xr:uid="{DD716D5C-48C8-4339-B939-CCA48243560A}"/>
    <cellStyle name="20% - akcent 3 8_konsopro330" xfId="154" xr:uid="{5696A131-5B83-4F1A-8048-E1FBD5A141C9}"/>
    <cellStyle name="20% - akcent 3 9" xfId="155" xr:uid="{A1A6D1F9-05C1-4EA6-B400-5498CEABB22C}"/>
    <cellStyle name="20% - akcent 3 9 2" xfId="156" xr:uid="{357CF007-AA72-4BA9-B812-937205EA0DFA}"/>
    <cellStyle name="20% - akcent 3 9 2 2" xfId="157" xr:uid="{97F80ABE-569B-4F84-8C8B-8686054A3C59}"/>
    <cellStyle name="20% - akcent 3 9 3" xfId="158" xr:uid="{3E4AD5A7-273C-4E5B-A702-66CBF4ECC062}"/>
    <cellStyle name="20% - akcent 3 9_konsopro330" xfId="159" xr:uid="{D52B6E92-4A19-45E5-960F-449F366CCF79}"/>
    <cellStyle name="20% - akcent 4 10" xfId="161" xr:uid="{0D8F1F8A-9090-4311-9504-E1C4BCEEB049}"/>
    <cellStyle name="20% - akcent 4 10 2" xfId="162" xr:uid="{5E56A16D-3CD6-46B6-BF55-89EDF7B3676B}"/>
    <cellStyle name="20% - akcent 4 10 2 2" xfId="163" xr:uid="{7BC8A928-A7AE-4939-91ED-7B23BABF61A9}"/>
    <cellStyle name="20% - akcent 4 10 3" xfId="164" xr:uid="{912D0226-A427-412D-B268-1D11F1E1ED68}"/>
    <cellStyle name="20% - akcent 4 10_konsopro330" xfId="165" xr:uid="{5EDEE3F1-7BE4-453A-A65D-8783A4ED60F0}"/>
    <cellStyle name="20% - akcent 4 11" xfId="166" xr:uid="{FE0F426E-AF27-428D-9890-0644541CEA14}"/>
    <cellStyle name="20% - akcent 4 11 2" xfId="167" xr:uid="{A437183B-53BC-40F9-B1F1-53A9CBCA1C30}"/>
    <cellStyle name="20% - akcent 4 12" xfId="168" xr:uid="{62EB970A-D140-41D6-89CB-4F99B50E8939}"/>
    <cellStyle name="20% - akcent 4 2" xfId="169" xr:uid="{4296E439-F604-4081-8745-41ACF5A2EB93}"/>
    <cellStyle name="20% — akcent 4 2" xfId="160" xr:uid="{FCD81F4D-D674-4743-8061-3607430B76A4}"/>
    <cellStyle name="20% - akcent 4 2 2" xfId="170" xr:uid="{087C81BE-7928-46BD-BE53-5ADE0A06B84F}"/>
    <cellStyle name="20% - akcent 4 2 2 2" xfId="171" xr:uid="{006C0806-1FD1-4A2F-ACBB-CE04CDFC4DC4}"/>
    <cellStyle name="20% - akcent 4 2 3" xfId="172" xr:uid="{CD59E74F-4870-49F6-A98E-C0DEA69BAE46}"/>
    <cellStyle name="20% - akcent 4 2_konsopro330" xfId="173" xr:uid="{BA72E26D-0C69-438F-A25B-6746DAE16FE2}"/>
    <cellStyle name="20% - akcent 4 3" xfId="174" xr:uid="{29D6F5E3-2741-433E-94C6-8EA951508993}"/>
    <cellStyle name="20% — akcent 4 3" xfId="958" xr:uid="{3919ABE6-879C-4F71-8B7C-EF6F0BE010B0}"/>
    <cellStyle name="20% - akcent 4 3 2" xfId="175" xr:uid="{C4C39514-2011-4D4A-A067-2954AE511E7A}"/>
    <cellStyle name="20% - akcent 4 3 2 2" xfId="176" xr:uid="{F3A560E2-491D-4211-9659-2F55C3691960}"/>
    <cellStyle name="20% - akcent 4 3 3" xfId="177" xr:uid="{80054CC4-B62E-486B-BB42-A53BAC295EDC}"/>
    <cellStyle name="20% - akcent 4 3_konsopro330" xfId="178" xr:uid="{823ABD12-FA71-4EF7-B353-636FBBA9572C}"/>
    <cellStyle name="20% - akcent 4 4" xfId="179" xr:uid="{33302B3A-4B63-48AE-A85D-4A6CFEAA9463}"/>
    <cellStyle name="20% — akcent 4 4" xfId="987" xr:uid="{7DD31EDB-DE9A-4D0A-AC61-48BF009694B6}"/>
    <cellStyle name="20% - akcent 4 4 2" xfId="180" xr:uid="{3B803B36-21F5-45A0-8E6D-69765A27ADEB}"/>
    <cellStyle name="20% - akcent 4 4 2 2" xfId="181" xr:uid="{E3B09638-B495-455D-88F5-1BB9C0BE091A}"/>
    <cellStyle name="20% - akcent 4 4 3" xfId="182" xr:uid="{6F2FB675-5A36-4186-B42B-ED97B1F8D49E}"/>
    <cellStyle name="20% - akcent 4 4_konsopro330" xfId="183" xr:uid="{AC04DC37-F38B-47E2-8651-AAC94E3A0D1B}"/>
    <cellStyle name="20% - akcent 4 5" xfId="184" xr:uid="{D6204621-2BF9-4649-9AC0-93F4A387B065}"/>
    <cellStyle name="20% - akcent 4 5 2" xfId="185" xr:uid="{4D419A1A-E6E9-42AD-99F0-26177368A9EF}"/>
    <cellStyle name="20% - akcent 4 5 2 2" xfId="186" xr:uid="{CE79BCEC-39A6-447E-8C36-1EB4F5A658B7}"/>
    <cellStyle name="20% - akcent 4 5 3" xfId="187" xr:uid="{0B256D5A-BDA4-4DDF-BF7D-08E8031A3A3E}"/>
    <cellStyle name="20% - akcent 4 5_konsopro330" xfId="188" xr:uid="{0FC5B1EA-7B45-42EB-9A9E-E38F5C067022}"/>
    <cellStyle name="20% - akcent 4 6" xfId="189" xr:uid="{92860159-0C2F-416E-8104-95B879ED8C8F}"/>
    <cellStyle name="20% - akcent 4 6 2" xfId="190" xr:uid="{175406D1-8F71-4604-95C1-C87A969C433C}"/>
    <cellStyle name="20% - akcent 4 6 2 2" xfId="191" xr:uid="{AB797E3A-4E0B-4ACF-B02E-BCD2DC36C343}"/>
    <cellStyle name="20% - akcent 4 6 3" xfId="192" xr:uid="{CEF14233-B669-4D94-BC29-A8B7C45E679E}"/>
    <cellStyle name="20% - akcent 4 6_konsopro330" xfId="193" xr:uid="{5EF02C06-AF6C-411E-A4EB-9CFCBF8DAF36}"/>
    <cellStyle name="20% - akcent 4 7" xfId="194" xr:uid="{BD79B418-8BAA-4196-9767-DDDEB6A03B45}"/>
    <cellStyle name="20% - akcent 4 7 2" xfId="195" xr:uid="{CE7E6FA2-3DF8-49F5-AD19-3A534CFD7ADD}"/>
    <cellStyle name="20% - akcent 4 7 2 2" xfId="196" xr:uid="{74ED2A98-5457-4121-B6C2-D1D397C1DF5D}"/>
    <cellStyle name="20% - akcent 4 7 3" xfId="197" xr:uid="{255C6B45-1D54-49C7-B451-419BDF24ED3F}"/>
    <cellStyle name="20% - akcent 4 7_konsopro330" xfId="198" xr:uid="{441391C5-6D67-4225-9EDA-56C7CD1A528B}"/>
    <cellStyle name="20% - akcent 4 8" xfId="199" xr:uid="{190CEAA2-F539-4264-9ABB-D739AD94E014}"/>
    <cellStyle name="20% - akcent 4 8 2" xfId="200" xr:uid="{4E9207F9-E993-450E-9954-4131B6A7844D}"/>
    <cellStyle name="20% - akcent 4 8 2 2" xfId="201" xr:uid="{F5B01D02-CA60-4374-AB7B-5FE69B44BB09}"/>
    <cellStyle name="20% - akcent 4 8 3" xfId="202" xr:uid="{BE68BDF1-A15D-46AD-9693-31C324595178}"/>
    <cellStyle name="20% - akcent 4 8_konsopro330" xfId="203" xr:uid="{FD03229E-C745-462E-B9CF-BFFD9BD66B3E}"/>
    <cellStyle name="20% - akcent 4 9" xfId="204" xr:uid="{57A8BCFB-3844-41C9-A640-AE72F0026A5B}"/>
    <cellStyle name="20% - akcent 4 9 2" xfId="205" xr:uid="{78A0CB42-5EAE-49DB-9990-16E60059E1CA}"/>
    <cellStyle name="20% - akcent 4 9 2 2" xfId="206" xr:uid="{05ACC589-A5D3-4B90-A152-C1AC9C97E58F}"/>
    <cellStyle name="20% - akcent 4 9 3" xfId="207" xr:uid="{1553A30E-7EF7-47E3-A57A-1DC6ABDB903F}"/>
    <cellStyle name="20% - akcent 4 9_konsopro330" xfId="208" xr:uid="{DCF55A6F-03A0-4A62-BC1A-10DD793189CC}"/>
    <cellStyle name="20% - akcent 5 10" xfId="210" xr:uid="{6CEE4FF2-C63B-4721-B20B-C91105F00A3E}"/>
    <cellStyle name="20% - akcent 5 10 2" xfId="211" xr:uid="{32913D9F-F1DD-4093-80C0-E273EF2C260B}"/>
    <cellStyle name="20% - akcent 5 10 2 2" xfId="212" xr:uid="{CF710CEA-6872-4333-9EAB-192202340710}"/>
    <cellStyle name="20% - akcent 5 10 3" xfId="213" xr:uid="{6098C152-9A86-4845-87DA-406F76DDD827}"/>
    <cellStyle name="20% - akcent 5 10_konsopro330" xfId="214" xr:uid="{98F69AF3-2683-48A7-998E-6520FCD85B21}"/>
    <cellStyle name="20% - akcent 5 11" xfId="215" xr:uid="{489E524B-261C-40EF-A4D8-2625D36A035E}"/>
    <cellStyle name="20% - akcent 5 11 2" xfId="216" xr:uid="{6DA31DD1-2419-4486-B285-D033300CC603}"/>
    <cellStyle name="20% - akcent 5 12" xfId="217" xr:uid="{9B311A3F-D30F-41F9-84ED-43CEC7A58A89}"/>
    <cellStyle name="20% - akcent 5 2" xfId="218" xr:uid="{FED5CACB-868C-4855-92AE-EAF858C97340}"/>
    <cellStyle name="20% — akcent 5 2" xfId="209" xr:uid="{B5C0639E-0A31-4677-9547-BDFD7498F6B1}"/>
    <cellStyle name="20% - akcent 5 2 2" xfId="219" xr:uid="{998D1C8E-0B88-47EC-A8D2-329A0211CFA8}"/>
    <cellStyle name="20% - akcent 5 2 2 2" xfId="220" xr:uid="{65BC07EC-2707-4369-8A24-58CBDE153327}"/>
    <cellStyle name="20% - akcent 5 2 3" xfId="221" xr:uid="{BC52432E-5C81-4AE7-9ACC-53D5E02C9551}"/>
    <cellStyle name="20% - akcent 5 2_konsopro330" xfId="222" xr:uid="{D4CB9CBA-6FD8-4229-9E88-E8BC9125D698}"/>
    <cellStyle name="20% - akcent 5 3" xfId="223" xr:uid="{B7F25950-943E-4CE1-BCC6-1A1F298FB6C5}"/>
    <cellStyle name="20% — akcent 5 3" xfId="959" xr:uid="{9EC5FB6C-6324-4E28-B64E-069682A8C249}"/>
    <cellStyle name="20% - akcent 5 3 2" xfId="224" xr:uid="{6DFEC4F6-B330-4584-A30D-75AAFAB28912}"/>
    <cellStyle name="20% - akcent 5 3 2 2" xfId="225" xr:uid="{65B0CA3B-AF80-4749-BD20-3A3D50006BC3}"/>
    <cellStyle name="20% - akcent 5 3 3" xfId="226" xr:uid="{94797188-768D-4199-A50B-EF946188641B}"/>
    <cellStyle name="20% - akcent 5 3_konsopro330" xfId="227" xr:uid="{C5E96E40-7B8A-4531-BCC2-A063897365A1}"/>
    <cellStyle name="20% - akcent 5 4" xfId="228" xr:uid="{B71A8172-79EA-48D2-8C4D-0F99641A2535}"/>
    <cellStyle name="20% — akcent 5 4" xfId="986" xr:uid="{1A4ED521-E081-4505-AE15-2605BE87AA47}"/>
    <cellStyle name="20% - akcent 5 4 2" xfId="229" xr:uid="{4DF04C9E-66AF-49AD-86CB-BF6FD322240C}"/>
    <cellStyle name="20% - akcent 5 4 2 2" xfId="230" xr:uid="{76052020-199E-450B-B4C3-754CCC797410}"/>
    <cellStyle name="20% - akcent 5 4 3" xfId="231" xr:uid="{6A1A06A2-CAB7-469E-BD2D-7FF7E429B56E}"/>
    <cellStyle name="20% - akcent 5 4_konsopro330" xfId="232" xr:uid="{A34CAFA6-345C-40FC-9D72-AC7464F89365}"/>
    <cellStyle name="20% - akcent 5 5" xfId="233" xr:uid="{0511545E-9F52-436B-AA28-366C1877140E}"/>
    <cellStyle name="20% - akcent 5 5 2" xfId="234" xr:uid="{9DEB0811-C544-4DA8-9734-50542DD5DE6F}"/>
    <cellStyle name="20% - akcent 5 5 2 2" xfId="235" xr:uid="{F9116D24-A375-4DCB-9D00-7949BDA3986D}"/>
    <cellStyle name="20% - akcent 5 5 3" xfId="236" xr:uid="{54FB3F75-4D95-42B4-BC76-97C4159AEC44}"/>
    <cellStyle name="20% - akcent 5 5_konsopro330" xfId="237" xr:uid="{C84EC833-382A-4921-9874-C469ABDB33E9}"/>
    <cellStyle name="20% - akcent 5 6" xfId="238" xr:uid="{839A2CDD-8894-4491-8D1B-24166E04480C}"/>
    <cellStyle name="20% - akcent 5 6 2" xfId="239" xr:uid="{F9F000E9-0A39-4F57-B707-98E6AB4B5F46}"/>
    <cellStyle name="20% - akcent 5 6 2 2" xfId="240" xr:uid="{58A66049-E96B-4A89-A2EA-15B9F2F11A13}"/>
    <cellStyle name="20% - akcent 5 6 3" xfId="241" xr:uid="{07F61CF6-4B10-4EEB-9118-35B9B94232E1}"/>
    <cellStyle name="20% - akcent 5 6_konsopro330" xfId="242" xr:uid="{CD662650-AFB5-40D2-98A9-3B8080A646EA}"/>
    <cellStyle name="20% - akcent 5 7" xfId="243" xr:uid="{9EB2FA41-89ED-448E-91A0-E5B9CA49AD12}"/>
    <cellStyle name="20% - akcent 5 7 2" xfId="244" xr:uid="{C35822DA-49F3-449F-9E99-3A1BA6C51FA9}"/>
    <cellStyle name="20% - akcent 5 7 2 2" xfId="245" xr:uid="{B24BFF82-61BD-420F-86B9-49ED4896395B}"/>
    <cellStyle name="20% - akcent 5 7 3" xfId="246" xr:uid="{43D708F8-4F6B-4CD9-BDE4-ACDA41F4BF65}"/>
    <cellStyle name="20% - akcent 5 7_konsopro330" xfId="247" xr:uid="{116ABA1B-B363-4E09-B67A-6FB4EAF1CB68}"/>
    <cellStyle name="20% - akcent 5 8" xfId="248" xr:uid="{F11D4C4D-150A-4C9E-915A-8A581D150547}"/>
    <cellStyle name="20% - akcent 5 8 2" xfId="249" xr:uid="{B5066BDE-8CAA-422F-8A2E-431657EE06AF}"/>
    <cellStyle name="20% - akcent 5 8 2 2" xfId="250" xr:uid="{612CC3DD-B703-482D-B28B-F835A6B88DD9}"/>
    <cellStyle name="20% - akcent 5 8 3" xfId="251" xr:uid="{579F72A7-7125-47ED-84A3-972ED66786AD}"/>
    <cellStyle name="20% - akcent 5 8_konsopro330" xfId="252" xr:uid="{053996FC-6378-4C08-AE03-A9E24E61CCC6}"/>
    <cellStyle name="20% - akcent 5 9" xfId="253" xr:uid="{724AF0D6-5391-4350-B6AF-46FE0BC4C5D8}"/>
    <cellStyle name="20% - akcent 5 9 2" xfId="254" xr:uid="{DA3DB666-3436-4207-982E-3D799A8CCEBF}"/>
    <cellStyle name="20% - akcent 5 9 2 2" xfId="255" xr:uid="{CEB37AAC-7325-40DB-A17A-7E7B76512BF9}"/>
    <cellStyle name="20% - akcent 5 9 3" xfId="256" xr:uid="{698F2D03-8C2A-4726-BCBA-30B27CEEAD65}"/>
    <cellStyle name="20% - akcent 5 9_konsopro330" xfId="257" xr:uid="{BD67CA67-E608-405B-B6BF-C7E0D8B4A7AD}"/>
    <cellStyle name="20% - akcent 6 10" xfId="259" xr:uid="{6708E12F-4F31-406A-BE6A-6F2DD4A30925}"/>
    <cellStyle name="20% - akcent 6 10 2" xfId="260" xr:uid="{8939D923-4F65-4B58-A7B7-18DE74725E92}"/>
    <cellStyle name="20% - akcent 6 10 2 2" xfId="261" xr:uid="{5D3F4FBC-A81D-4E77-AAF2-943B943FCC97}"/>
    <cellStyle name="20% - akcent 6 10 3" xfId="262" xr:uid="{DD479E1C-C5E2-43F9-9B47-FA318484E7E3}"/>
    <cellStyle name="20% - akcent 6 10_konsopro330" xfId="263" xr:uid="{3BB30D97-F489-4642-908E-5C66CBEA98F9}"/>
    <cellStyle name="20% - akcent 6 11" xfId="264" xr:uid="{7699598B-E4E6-4E55-B398-9FC222B1A43C}"/>
    <cellStyle name="20% - akcent 6 11 2" xfId="265" xr:uid="{9C97D3B4-D707-49CD-89B7-A9A0A01B7645}"/>
    <cellStyle name="20% - akcent 6 12" xfId="266" xr:uid="{6BB251E5-5BD8-4F58-BF92-C0AD3DF59597}"/>
    <cellStyle name="20% - akcent 6 2" xfId="267" xr:uid="{4938FE15-A70B-42AE-92D1-7E211AC5E0C9}"/>
    <cellStyle name="20% — akcent 6 2" xfId="258" xr:uid="{0CAFDF3B-5E79-42D8-A211-0C18169E3973}"/>
    <cellStyle name="20% - akcent 6 2 2" xfId="268" xr:uid="{D6AEA6C2-6254-4CC0-B626-2322E8D9C7F9}"/>
    <cellStyle name="20% - akcent 6 2 2 2" xfId="269" xr:uid="{6DD889F4-3D7B-4063-982B-8C0A9EACB3B2}"/>
    <cellStyle name="20% - akcent 6 2 3" xfId="270" xr:uid="{6F30B248-3820-4F1A-8402-D8CCF84E5D7C}"/>
    <cellStyle name="20% - akcent 6 2_konsopro330" xfId="271" xr:uid="{AF8855F5-7409-4605-8F9E-5C2C903790DF}"/>
    <cellStyle name="20% - akcent 6 3" xfId="272" xr:uid="{11B42AAE-DD96-4DAA-9B0D-FEB9D7626668}"/>
    <cellStyle name="20% — akcent 6 3" xfId="960" xr:uid="{CA5F30ED-8038-469A-A385-060DDB3A0F1D}"/>
    <cellStyle name="20% - akcent 6 3 2" xfId="273" xr:uid="{2E420C3A-CFAA-4105-BF6B-A81C0E7115A1}"/>
    <cellStyle name="20% - akcent 6 3 2 2" xfId="274" xr:uid="{D3A17F93-6D2E-442E-B91B-5F8F513B54EE}"/>
    <cellStyle name="20% - akcent 6 3 3" xfId="275" xr:uid="{8EE1301B-0423-4669-B715-D02256625E8B}"/>
    <cellStyle name="20% - akcent 6 3_konsopro330" xfId="276" xr:uid="{3FCABDEC-7374-4F05-8932-52332BE56B92}"/>
    <cellStyle name="20% - akcent 6 4" xfId="277" xr:uid="{04F4B5B1-4A32-45DD-8601-82AC8BDB580E}"/>
    <cellStyle name="20% — akcent 6 4" xfId="985" xr:uid="{E52B2AE4-44FA-4AFB-A49B-4596CE0BE451}"/>
    <cellStyle name="20% - akcent 6 4 2" xfId="278" xr:uid="{D5C050E3-A232-4141-9426-B7B35B4C1F75}"/>
    <cellStyle name="20% - akcent 6 4 2 2" xfId="279" xr:uid="{C9AA5B1F-4257-4BC7-A6A5-957CF295885F}"/>
    <cellStyle name="20% - akcent 6 4 3" xfId="280" xr:uid="{D1F1DD44-B614-4D57-8DAE-992F509B9423}"/>
    <cellStyle name="20% - akcent 6 4_konsopro330" xfId="281" xr:uid="{BB8254FF-C0F4-489C-B42B-650AEC56781E}"/>
    <cellStyle name="20% - akcent 6 5" xfId="282" xr:uid="{9EBB4B69-A915-42A9-B4D3-7FA6CCD2D5DE}"/>
    <cellStyle name="20% - akcent 6 5 2" xfId="283" xr:uid="{3A6D3D4C-128E-4950-A9BA-FD4A877B6943}"/>
    <cellStyle name="20% - akcent 6 5 2 2" xfId="284" xr:uid="{0B577A50-E27F-40BB-8957-13A3F84D287C}"/>
    <cellStyle name="20% - akcent 6 5 3" xfId="285" xr:uid="{8C249724-C240-42E0-A0C1-E4BD12BE8F60}"/>
    <cellStyle name="20% - akcent 6 5_konsopro330" xfId="286" xr:uid="{693B8E63-3546-41FA-AB90-F94A3BDD522F}"/>
    <cellStyle name="20% - akcent 6 6" xfId="287" xr:uid="{3CDE935A-8CEA-4464-8D9A-2F05076DCDE8}"/>
    <cellStyle name="20% - akcent 6 6 2" xfId="288" xr:uid="{D0559B93-00C4-4BF4-9AF5-36FFF6F0E58D}"/>
    <cellStyle name="20% - akcent 6 6 2 2" xfId="289" xr:uid="{D35A8FAD-BF01-4396-8565-00158AAC21D3}"/>
    <cellStyle name="20% - akcent 6 6 3" xfId="290" xr:uid="{D741ED6B-46FC-4394-8914-5AA2C8C6AE53}"/>
    <cellStyle name="20% - akcent 6 6_konsopro330" xfId="291" xr:uid="{D3045301-ACB7-477E-93C8-F58B3B7F97C2}"/>
    <cellStyle name="20% - akcent 6 7" xfId="292" xr:uid="{47295CF6-DE19-4D01-9C1E-AAE02C65A801}"/>
    <cellStyle name="20% - akcent 6 7 2" xfId="293" xr:uid="{1FA2270B-541C-41B5-87AA-7B015E559F5F}"/>
    <cellStyle name="20% - akcent 6 7 2 2" xfId="294" xr:uid="{927E2560-CD48-4EBE-AAFC-F520EF79164A}"/>
    <cellStyle name="20% - akcent 6 7 3" xfId="295" xr:uid="{D03D981F-FA41-41C7-8073-4487B66BC7E0}"/>
    <cellStyle name="20% - akcent 6 7_konsopro330" xfId="296" xr:uid="{98047A6E-E57E-415C-A312-27B51CC1812F}"/>
    <cellStyle name="20% - akcent 6 8" xfId="297" xr:uid="{2AA7A5FB-7892-4306-AE7D-174AAC53E48D}"/>
    <cellStyle name="20% - akcent 6 8 2" xfId="298" xr:uid="{A2957036-28B8-450D-B915-32885A324083}"/>
    <cellStyle name="20% - akcent 6 8 2 2" xfId="299" xr:uid="{3275AF14-DA1D-4E03-9CC8-4BA2E30122C1}"/>
    <cellStyle name="20% - akcent 6 8 3" xfId="300" xr:uid="{17B69B09-F7DF-494C-A936-0AACE96ECA07}"/>
    <cellStyle name="20% - akcent 6 8_konsopro330" xfId="301" xr:uid="{8F4958BF-2DB5-43F1-9CF0-CEE96F051D1C}"/>
    <cellStyle name="20% - akcent 6 9" xfId="302" xr:uid="{C155A701-A888-45FB-8171-609CBE36E6CD}"/>
    <cellStyle name="20% - akcent 6 9 2" xfId="303" xr:uid="{C8D9398E-F04B-4E3D-AD04-C1C8D04232F9}"/>
    <cellStyle name="20% - akcent 6 9 2 2" xfId="304" xr:uid="{E31AE08C-0F7A-4F71-A6D0-DB0B37097E1B}"/>
    <cellStyle name="20% - akcent 6 9 3" xfId="305" xr:uid="{F614D700-A029-4ECD-8512-0454DAEF799A}"/>
    <cellStyle name="20% - akcent 6 9_konsopro330" xfId="306" xr:uid="{3106EFA2-50E7-42BA-AEB6-1357689880C9}"/>
    <cellStyle name="40% - akcent 1 10" xfId="308" xr:uid="{9B07708A-4E0B-440D-9A10-D6EC35D8D2E6}"/>
    <cellStyle name="40% - akcent 1 10 2" xfId="309" xr:uid="{E225FAF1-E496-4662-8111-443502E7E6F4}"/>
    <cellStyle name="40% - akcent 1 10 2 2" xfId="310" xr:uid="{234656A9-EC27-4C59-982D-D5EADEDD795B}"/>
    <cellStyle name="40% - akcent 1 10 3" xfId="311" xr:uid="{1E402F67-431A-4DF3-8B35-154E7008DA3C}"/>
    <cellStyle name="40% - akcent 1 10_konsopro330" xfId="312" xr:uid="{245794AA-3B18-4A25-A9DD-2FD4D9AC6FC7}"/>
    <cellStyle name="40% - akcent 1 11" xfId="313" xr:uid="{BDBC29D0-C8AF-41DB-9505-0DF34CC1B771}"/>
    <cellStyle name="40% - akcent 1 11 2" xfId="314" xr:uid="{7A42794C-6C84-414B-9FC6-13F73D22C843}"/>
    <cellStyle name="40% - akcent 1 12" xfId="315" xr:uid="{93491977-F87C-4009-8921-2811F119E1C7}"/>
    <cellStyle name="40% - akcent 1 2" xfId="316" xr:uid="{42D81E4E-6164-4AE2-9A37-8670083B43A1}"/>
    <cellStyle name="40% — akcent 1 2" xfId="307" xr:uid="{181225EA-156B-449E-8AB4-B38C5A901CE8}"/>
    <cellStyle name="40% - akcent 1 2 2" xfId="317" xr:uid="{A6B2BDD4-9CFB-42A1-9D72-4C17985B8137}"/>
    <cellStyle name="40% - akcent 1 2 2 2" xfId="318" xr:uid="{B62F1B96-28A0-4B58-B576-FDE6C2668FB1}"/>
    <cellStyle name="40% - akcent 1 2 3" xfId="319" xr:uid="{CB14FD09-37CD-4B22-B357-7DC86E926A65}"/>
    <cellStyle name="40% - akcent 1 2_konsopro330" xfId="320" xr:uid="{67F414D2-BC61-476E-A277-28CFFBE71325}"/>
    <cellStyle name="40% - akcent 1 3" xfId="321" xr:uid="{5A1DA23E-6D3E-415E-B896-962D945818FD}"/>
    <cellStyle name="40% — akcent 1 3" xfId="961" xr:uid="{73C69ED7-A4C2-4C53-AE0C-08856B3B1205}"/>
    <cellStyle name="40% - akcent 1 3 2" xfId="322" xr:uid="{C9C6B43E-131E-4216-A804-65B8E68F6B0E}"/>
    <cellStyle name="40% - akcent 1 3 2 2" xfId="323" xr:uid="{C03FC0A9-A37D-4758-AA1A-4B5DB443B4CC}"/>
    <cellStyle name="40% - akcent 1 3 3" xfId="324" xr:uid="{60EC9B61-6647-4A71-9306-66776015D829}"/>
    <cellStyle name="40% - akcent 1 3_konsopro330" xfId="325" xr:uid="{17319312-E6E1-427E-A831-453DD8ACF6A8}"/>
    <cellStyle name="40% - akcent 1 4" xfId="326" xr:uid="{4475FB12-DF52-4555-893A-B384EFE3E62E}"/>
    <cellStyle name="40% — akcent 1 4" xfId="984" xr:uid="{EED471A1-8CB3-4805-B1B9-09580431DEBC}"/>
    <cellStyle name="40% - akcent 1 4 2" xfId="327" xr:uid="{C5A16075-DCE6-4A4B-8DE8-7010D3A44B0C}"/>
    <cellStyle name="40% - akcent 1 4 2 2" xfId="328" xr:uid="{0A684585-3830-43E7-A818-485985091AA6}"/>
    <cellStyle name="40% - akcent 1 4 3" xfId="329" xr:uid="{F888B554-AC1F-4565-B153-AFF5023589F5}"/>
    <cellStyle name="40% - akcent 1 4_konsopro330" xfId="330" xr:uid="{6C9BF11D-35C2-41A2-80FD-098A80021C4E}"/>
    <cellStyle name="40% - akcent 1 5" xfId="331" xr:uid="{D084FA1A-A3F2-4509-AB1B-15C4702D522A}"/>
    <cellStyle name="40% - akcent 1 5 2" xfId="332" xr:uid="{A10A8E0A-ACA6-49D7-BB67-92E00F1EC116}"/>
    <cellStyle name="40% - akcent 1 5 2 2" xfId="333" xr:uid="{745446DC-7C99-453B-AB5D-CF13BDDA9D8B}"/>
    <cellStyle name="40% - akcent 1 5 3" xfId="334" xr:uid="{AD063D8F-EDF8-45D5-A2DA-092E92F3F8C5}"/>
    <cellStyle name="40% - akcent 1 5_konsopro330" xfId="335" xr:uid="{F5E159F3-33BD-4849-B36B-5FB75077AD3D}"/>
    <cellStyle name="40% - akcent 1 6" xfId="336" xr:uid="{C75FF20E-DAA4-4657-9B5D-97A4413AAFB5}"/>
    <cellStyle name="40% - akcent 1 6 2" xfId="337" xr:uid="{10C87F45-DF41-490B-A5DF-99E0CAFF7841}"/>
    <cellStyle name="40% - akcent 1 6 2 2" xfId="338" xr:uid="{9E273721-3FBF-4986-AC89-B9D7D7097E7F}"/>
    <cellStyle name="40% - akcent 1 6 3" xfId="339" xr:uid="{1B682F93-9791-4F36-8FF4-722EBDB9394F}"/>
    <cellStyle name="40% - akcent 1 6_konsopro330" xfId="340" xr:uid="{F9F71BE6-97C7-4B6F-A104-797972AFEDE2}"/>
    <cellStyle name="40% - akcent 1 7" xfId="341" xr:uid="{79182651-E9B6-40D5-B80D-F8D360397358}"/>
    <cellStyle name="40% - akcent 1 7 2" xfId="342" xr:uid="{09B13FD1-A478-47C8-A315-9102F5ED0FE1}"/>
    <cellStyle name="40% - akcent 1 7 2 2" xfId="343" xr:uid="{169ADB2B-370F-4227-887C-6D62F0011180}"/>
    <cellStyle name="40% - akcent 1 7 3" xfId="344" xr:uid="{C04D130F-A507-44EC-B339-CAAC7954FFD6}"/>
    <cellStyle name="40% - akcent 1 7_konsopro330" xfId="345" xr:uid="{D9C5C296-3193-4208-8B87-1A3B3C19C833}"/>
    <cellStyle name="40% - akcent 1 8" xfId="346" xr:uid="{5B0F0E81-F034-4BAE-BA5D-4D0442583591}"/>
    <cellStyle name="40% - akcent 1 8 2" xfId="347" xr:uid="{DEEAA295-30BF-47D9-A2B3-FDB06E4361D9}"/>
    <cellStyle name="40% - akcent 1 8 2 2" xfId="348" xr:uid="{F11C8282-FAD6-4314-AC4B-8C6DC7199D4F}"/>
    <cellStyle name="40% - akcent 1 8 3" xfId="349" xr:uid="{223221D8-D40A-47BB-B1F6-96E1F1F879D0}"/>
    <cellStyle name="40% - akcent 1 8_konsopro330" xfId="350" xr:uid="{C5A1608A-0014-4519-A8D6-A98AF655F150}"/>
    <cellStyle name="40% - akcent 1 9" xfId="351" xr:uid="{1899E8E8-62B0-45BE-ADC9-7C7D7D3033D3}"/>
    <cellStyle name="40% - akcent 1 9 2" xfId="352" xr:uid="{F4A4946E-BD93-4CD6-B598-0E690E5B4AA5}"/>
    <cellStyle name="40% - akcent 1 9 2 2" xfId="353" xr:uid="{3A91DEB9-CB15-4CBE-8CDE-0420844E43E0}"/>
    <cellStyle name="40% - akcent 1 9 3" xfId="354" xr:uid="{638ACE39-EB03-434E-8743-5EEC347A8738}"/>
    <cellStyle name="40% - akcent 1 9_konsopro330" xfId="355" xr:uid="{CB0D0976-B9D4-4CDA-A1EE-A1D2C722C702}"/>
    <cellStyle name="40% - akcent 2 10" xfId="357" xr:uid="{7B2BCF23-BB53-4931-8839-800AF5FB8E71}"/>
    <cellStyle name="40% - akcent 2 10 2" xfId="358" xr:uid="{FEF72E40-E5ED-4D70-83EC-FDD070F5B485}"/>
    <cellStyle name="40% - akcent 2 10 2 2" xfId="359" xr:uid="{ED85E0A0-90E4-421B-99F3-4712015F742D}"/>
    <cellStyle name="40% - akcent 2 10 3" xfId="360" xr:uid="{B0E6F17D-A9D4-43F9-BA27-7D9342E5093C}"/>
    <cellStyle name="40% - akcent 2 10_konsopro330" xfId="361" xr:uid="{B6DCC08B-FCFE-4229-96E5-401E5D96B738}"/>
    <cellStyle name="40% - akcent 2 11" xfId="362" xr:uid="{1E9D9615-F51A-430A-A38C-7DD35B4FE4D8}"/>
    <cellStyle name="40% - akcent 2 11 2" xfId="363" xr:uid="{DF7405CF-8D07-4B6D-97F1-5C71ED46CF6B}"/>
    <cellStyle name="40% - akcent 2 12" xfId="364" xr:uid="{BC5D1AD7-3E5A-4809-A1E5-3770B1845177}"/>
    <cellStyle name="40% - akcent 2 2" xfId="365" xr:uid="{EF45F462-9EC2-4A7B-9C0F-026BFB879118}"/>
    <cellStyle name="40% — akcent 2 2" xfId="356" xr:uid="{596EC403-B5D2-400E-BF34-B17E97D86105}"/>
    <cellStyle name="40% - akcent 2 2 2" xfId="366" xr:uid="{718BF464-2F2B-4162-9C73-DEDB13D295A7}"/>
    <cellStyle name="40% - akcent 2 2 2 2" xfId="367" xr:uid="{E9908A51-6238-4F29-8F0D-BF319084A92D}"/>
    <cellStyle name="40% - akcent 2 2 3" xfId="368" xr:uid="{FCDEFA99-2159-4584-B3BA-E912D21D2EBC}"/>
    <cellStyle name="40% - akcent 2 2_konsopro330" xfId="369" xr:uid="{94F32C94-44DB-46D9-9A86-4114342CF52C}"/>
    <cellStyle name="40% - akcent 2 3" xfId="370" xr:uid="{22FCBCB4-3B18-4E1D-84B0-F965F7489925}"/>
    <cellStyle name="40% — akcent 2 3" xfId="967" xr:uid="{87C3E8D4-CD89-4F6D-95F2-F0A52D180F8E}"/>
    <cellStyle name="40% - akcent 2 3 2" xfId="371" xr:uid="{D6F3D5D4-7153-403E-99E1-7F62825A2039}"/>
    <cellStyle name="40% - akcent 2 3 2 2" xfId="372" xr:uid="{571E2368-7BCD-42BF-803E-CD9B7FC32B74}"/>
    <cellStyle name="40% - akcent 2 3 3" xfId="373" xr:uid="{618E009A-4F6F-4EA0-BE70-F4BBDEE15503}"/>
    <cellStyle name="40% - akcent 2 3_konsopro330" xfId="374" xr:uid="{8182AFD0-FC9D-4335-8AD7-1638F7AFFCE7}"/>
    <cellStyle name="40% - akcent 2 4" xfId="375" xr:uid="{7D66B834-613C-4AC2-A66C-7A647E0881B5}"/>
    <cellStyle name="40% — akcent 2 4" xfId="979" xr:uid="{CC4637C7-7953-4A29-BC4C-DDB39D8BEDCE}"/>
    <cellStyle name="40% - akcent 2 4 2" xfId="376" xr:uid="{5D3C5F70-9BCC-4300-99CC-8F3DB8AF104C}"/>
    <cellStyle name="40% - akcent 2 4 2 2" xfId="377" xr:uid="{D1B7A41F-6BBA-4C09-8F0A-DED80A3D505F}"/>
    <cellStyle name="40% - akcent 2 4 3" xfId="378" xr:uid="{D2928DCE-622B-4BCD-9FE5-75307F565609}"/>
    <cellStyle name="40% - akcent 2 4_konsopro330" xfId="379" xr:uid="{4ADB0A5D-5A92-4B0E-8E9A-53206C53EC81}"/>
    <cellStyle name="40% - akcent 2 5" xfId="380" xr:uid="{71F59E3D-E41B-4284-BBEC-0938D692C73C}"/>
    <cellStyle name="40% - akcent 2 5 2" xfId="381" xr:uid="{96A61A43-B8B5-415B-AF6D-E55717499E7D}"/>
    <cellStyle name="40% - akcent 2 5 2 2" xfId="382" xr:uid="{5D8D43DB-26F2-450F-BE03-9B720994E0B2}"/>
    <cellStyle name="40% - akcent 2 5 3" xfId="383" xr:uid="{FA19B06A-A30C-4365-9152-BFD81519CAF4}"/>
    <cellStyle name="40% - akcent 2 5_konsopro330" xfId="384" xr:uid="{3E45AF3D-7A9F-414E-A3E4-7B0D13BA06D5}"/>
    <cellStyle name="40% - akcent 2 6" xfId="385" xr:uid="{442C1C13-F4F0-4F92-ADF1-7634FA650145}"/>
    <cellStyle name="40% - akcent 2 6 2" xfId="386" xr:uid="{536509CF-008B-4E9A-A12E-EA06E04F2264}"/>
    <cellStyle name="40% - akcent 2 6 2 2" xfId="387" xr:uid="{B35EE168-93CA-4308-A9F8-762F82B34B65}"/>
    <cellStyle name="40% - akcent 2 6 3" xfId="388" xr:uid="{8A20203F-9893-4E56-A968-A2D8EF6308DF}"/>
    <cellStyle name="40% - akcent 2 6_konsopro330" xfId="389" xr:uid="{B0C007D2-2801-4FD5-A965-C06031638D03}"/>
    <cellStyle name="40% - akcent 2 7" xfId="390" xr:uid="{6EB303DC-7D49-44C9-8B54-3B669394881E}"/>
    <cellStyle name="40% - akcent 2 7 2" xfId="391" xr:uid="{7877D149-B6C9-4F19-A413-0832F4E3746A}"/>
    <cellStyle name="40% - akcent 2 7 2 2" xfId="392" xr:uid="{FA90503C-FB58-4103-999F-AD3850238A98}"/>
    <cellStyle name="40% - akcent 2 7 3" xfId="393" xr:uid="{5FD3E2A4-F9F2-4836-B06F-9B9BF0EBE0A1}"/>
    <cellStyle name="40% - akcent 2 7_konsopro330" xfId="394" xr:uid="{EA1C5AA0-C735-4149-BFBB-A74AD10E8864}"/>
    <cellStyle name="40% - akcent 2 8" xfId="395" xr:uid="{B142316B-58F2-4526-9680-4FA401835377}"/>
    <cellStyle name="40% - akcent 2 8 2" xfId="396" xr:uid="{A5D3ED11-7BF2-4ACD-8E1A-9B1F5A98D243}"/>
    <cellStyle name="40% - akcent 2 8 2 2" xfId="397" xr:uid="{ED699560-F9EC-47B0-85FA-F190ACD2B935}"/>
    <cellStyle name="40% - akcent 2 8 3" xfId="398" xr:uid="{11B15C9B-145C-4852-B4A0-1B493F3C8825}"/>
    <cellStyle name="40% - akcent 2 8_konsopro330" xfId="399" xr:uid="{E971EA12-EA8E-469C-A79E-62191EB7376F}"/>
    <cellStyle name="40% - akcent 2 9" xfId="400" xr:uid="{F439161D-587C-449A-A0B5-82B52AD15DFA}"/>
    <cellStyle name="40% - akcent 2 9 2" xfId="401" xr:uid="{A99DF31E-3BC9-4F39-AE09-F503B1DA5EBB}"/>
    <cellStyle name="40% - akcent 2 9 2 2" xfId="402" xr:uid="{D09CD481-12C4-4191-AD2E-94D6E1BDA9FF}"/>
    <cellStyle name="40% - akcent 2 9 3" xfId="403" xr:uid="{4CD13E14-B481-44D9-8FBA-46E5EEBCB0B8}"/>
    <cellStyle name="40% - akcent 2 9_konsopro330" xfId="404" xr:uid="{335D25A1-652A-460D-A576-3922C6E51329}"/>
    <cellStyle name="40% - akcent 3 10" xfId="406" xr:uid="{7BD0228B-5994-4815-BC94-018D2BD7B494}"/>
    <cellStyle name="40% - akcent 3 10 2" xfId="407" xr:uid="{1D525136-7A8C-45E5-806A-C3950BD7A1FA}"/>
    <cellStyle name="40% - akcent 3 10 2 2" xfId="408" xr:uid="{778F5A85-8A60-46D8-B981-99DB248BE934}"/>
    <cellStyle name="40% - akcent 3 10 3" xfId="409" xr:uid="{BC237F01-6352-461A-9595-4914D4D09592}"/>
    <cellStyle name="40% - akcent 3 10_konsopro330" xfId="410" xr:uid="{1B576262-D30B-4077-B8B2-D6EB7B0FFDE4}"/>
    <cellStyle name="40% - akcent 3 11" xfId="411" xr:uid="{18737CAD-E5EF-44A7-9ADD-87485EEA929C}"/>
    <cellStyle name="40% - akcent 3 11 2" xfId="412" xr:uid="{A034CFC1-AED2-428F-ADB0-286C3AA88FBE}"/>
    <cellStyle name="40% - akcent 3 12" xfId="413" xr:uid="{0150401C-D413-416A-BFED-850597F0F511}"/>
    <cellStyle name="40% - akcent 3 2" xfId="414" xr:uid="{9671A5F4-BFE0-459F-8242-E1C21A6C6F60}"/>
    <cellStyle name="40% — akcent 3 2" xfId="405" xr:uid="{4D69B9E3-F449-4A83-894F-68E5B2B0466C}"/>
    <cellStyle name="40% - akcent 3 2 2" xfId="415" xr:uid="{702D4DC3-D70A-41FA-90C0-F877376DD300}"/>
    <cellStyle name="40% - akcent 3 2 2 2" xfId="416" xr:uid="{A155FD96-3835-4228-9679-F1CF9A5F010E}"/>
    <cellStyle name="40% - akcent 3 2 3" xfId="417" xr:uid="{E53CA20B-2D2B-4E9B-BF6E-270E367D84E9}"/>
    <cellStyle name="40% - akcent 3 2_konsopro330" xfId="418" xr:uid="{7FF2C5A9-A297-4103-A766-D33B984C209E}"/>
    <cellStyle name="40% - akcent 3 3" xfId="419" xr:uid="{9D7F0FD3-9554-4AED-8875-C65A3075D562}"/>
    <cellStyle name="40% — akcent 3 3" xfId="969" xr:uid="{735A4081-EBAB-4104-939A-2489DF56135E}"/>
    <cellStyle name="40% - akcent 3 3 2" xfId="420" xr:uid="{07BFA91D-0524-4DC7-ACC7-FF5509D81B3B}"/>
    <cellStyle name="40% - akcent 3 3 2 2" xfId="421" xr:uid="{1572BF90-B068-4E6B-985A-6ED9D583C05B}"/>
    <cellStyle name="40% - akcent 3 3 3" xfId="422" xr:uid="{3D3F97A4-BBB5-4AEE-893F-65D9EDFF02BA}"/>
    <cellStyle name="40% - akcent 3 3_konsopro330" xfId="423" xr:uid="{5C28AFB9-A245-4CCA-AEEE-DE97E9EDFB1A}"/>
    <cellStyle name="40% - akcent 3 4" xfId="424" xr:uid="{304C076B-CFB6-4C99-94D4-8DCE89F8BDA5}"/>
    <cellStyle name="40% — akcent 3 4" xfId="976" xr:uid="{151C7B6C-12F8-4F0D-B485-3BAFB7038F51}"/>
    <cellStyle name="40% - akcent 3 4 2" xfId="425" xr:uid="{577DB47E-F653-4849-B802-EBA361A43788}"/>
    <cellStyle name="40% - akcent 3 4 2 2" xfId="426" xr:uid="{33115910-D86C-4F86-BCC6-50D764E54BF7}"/>
    <cellStyle name="40% - akcent 3 4 3" xfId="427" xr:uid="{7D47CB78-91F2-4D81-A3E3-A70CAF4A28E0}"/>
    <cellStyle name="40% - akcent 3 4_konsopro330" xfId="428" xr:uid="{262F509A-DF26-48DB-83D7-EA346AB48090}"/>
    <cellStyle name="40% - akcent 3 5" xfId="429" xr:uid="{E6F7F00E-10E1-4F0C-9D16-9C8D003EECDF}"/>
    <cellStyle name="40% - akcent 3 5 2" xfId="430" xr:uid="{2F34BF71-1227-4F09-A736-1B03CE0C78C7}"/>
    <cellStyle name="40% - akcent 3 5 2 2" xfId="431" xr:uid="{603B440C-7142-41D1-BA08-87CE1D66ACB5}"/>
    <cellStyle name="40% - akcent 3 5 3" xfId="432" xr:uid="{8E6B3502-C226-4783-BCA3-F1A0C2EC1F3B}"/>
    <cellStyle name="40% - akcent 3 5_konsopro330" xfId="433" xr:uid="{3203321D-C8D5-497F-9074-539E8257385B}"/>
    <cellStyle name="40% - akcent 3 6" xfId="434" xr:uid="{0C2BE485-1CC3-4938-A112-887DEF4428C8}"/>
    <cellStyle name="40% - akcent 3 6 2" xfId="435" xr:uid="{38DFBFC4-24D2-412A-84C5-EC4AA6ACEFDC}"/>
    <cellStyle name="40% - akcent 3 6 2 2" xfId="436" xr:uid="{7C7F0B86-9895-4D5F-8B0C-71614CB48CD6}"/>
    <cellStyle name="40% - akcent 3 6 3" xfId="437" xr:uid="{0D278411-82A7-4FD9-8F74-5EE877EFB3B3}"/>
    <cellStyle name="40% - akcent 3 6_konsopro330" xfId="438" xr:uid="{0D96DC7A-D5BD-4263-9010-F3732DC94CE8}"/>
    <cellStyle name="40% - akcent 3 7" xfId="439" xr:uid="{AB30E2F9-23FF-482B-822F-0CB26FB91837}"/>
    <cellStyle name="40% - akcent 3 7 2" xfId="440" xr:uid="{C3BC8649-2A30-40A6-A7B3-22B9B0A07B24}"/>
    <cellStyle name="40% - akcent 3 7 2 2" xfId="441" xr:uid="{503EBA5F-85C4-481D-9C7B-6E7C1B193138}"/>
    <cellStyle name="40% - akcent 3 7 3" xfId="442" xr:uid="{18C4F22B-8D05-49F9-8839-1E7E47965F95}"/>
    <cellStyle name="40% - akcent 3 7_konsopro330" xfId="443" xr:uid="{1828CA07-545A-4942-8F7E-BDC0F09D28B0}"/>
    <cellStyle name="40% - akcent 3 8" xfId="444" xr:uid="{EF95C32D-6698-4FE9-9C14-CBA83C0F6564}"/>
    <cellStyle name="40% - akcent 3 8 2" xfId="445" xr:uid="{4AE20E7D-D6DC-42F2-90AE-C97C800AD80C}"/>
    <cellStyle name="40% - akcent 3 8 2 2" xfId="446" xr:uid="{4CED71D1-9AF9-4C19-9B71-ADAC27ECB0E8}"/>
    <cellStyle name="40% - akcent 3 8 3" xfId="447" xr:uid="{10FD5BCD-E3B9-48D7-B988-3500F3C20C27}"/>
    <cellStyle name="40% - akcent 3 8_konsopro330" xfId="448" xr:uid="{7391A2BD-2A30-4119-BBB5-2AD7B0D87885}"/>
    <cellStyle name="40% - akcent 3 9" xfId="449" xr:uid="{28E237F7-30B5-4857-8130-51401AD8BF77}"/>
    <cellStyle name="40% - akcent 3 9 2" xfId="450" xr:uid="{5FF71603-82DD-4C6D-B61C-3BFB01C12E61}"/>
    <cellStyle name="40% - akcent 3 9 2 2" xfId="451" xr:uid="{2F09BCFD-6F73-452D-9A9C-85B6E761C64F}"/>
    <cellStyle name="40% - akcent 3 9 3" xfId="452" xr:uid="{A28F7528-475A-4DFE-AB98-BA3EA7FCD1F0}"/>
    <cellStyle name="40% - akcent 3 9_konsopro330" xfId="453" xr:uid="{F69191B6-C73B-44FF-9544-6CC0981CE408}"/>
    <cellStyle name="40% - akcent 4 10" xfId="455" xr:uid="{5AEE2462-88B1-404A-9C6D-07912FD05FB8}"/>
    <cellStyle name="40% - akcent 4 10 2" xfId="456" xr:uid="{81B25001-2FDF-4AF6-8E96-B93C60CF3EAF}"/>
    <cellStyle name="40% - akcent 4 10 2 2" xfId="457" xr:uid="{3267B005-742E-4A27-8B5A-101484CE18F8}"/>
    <cellStyle name="40% - akcent 4 10 3" xfId="458" xr:uid="{088FDFC5-E1F1-42C0-B6D9-4838FC211311}"/>
    <cellStyle name="40% - akcent 4 10_konsopro330" xfId="459" xr:uid="{00F126A7-3B8C-4EA4-A983-9F30D12696F1}"/>
    <cellStyle name="40% - akcent 4 11" xfId="460" xr:uid="{BD4853E2-B63F-4DA6-9AD5-940B71F0370B}"/>
    <cellStyle name="40% - akcent 4 11 2" xfId="461" xr:uid="{3C0682AB-29C9-4CCA-8B99-7D0EDF2CF147}"/>
    <cellStyle name="40% - akcent 4 12" xfId="462" xr:uid="{87D046D0-E0C2-4355-B088-C98F0548B635}"/>
    <cellStyle name="40% - akcent 4 2" xfId="463" xr:uid="{531F9D89-E820-40AE-B5AC-7D368501C78A}"/>
    <cellStyle name="40% — akcent 4 2" xfId="454" xr:uid="{FCF8C401-0363-4D75-96FB-9ACC48EEF366}"/>
    <cellStyle name="40% - akcent 4 2 2" xfId="464" xr:uid="{20F017DE-AE46-4FF4-B508-7B9883359C5C}"/>
    <cellStyle name="40% - akcent 4 2 2 2" xfId="465" xr:uid="{CA289935-4B92-40E1-971C-B3BF67918BB9}"/>
    <cellStyle name="40% - akcent 4 2 3" xfId="466" xr:uid="{6AF6672E-84B3-4F64-835F-72835318E65B}"/>
    <cellStyle name="40% - akcent 4 2_konsopro330" xfId="467" xr:uid="{BBE13454-1895-4716-B2AC-B59D6CBA363C}"/>
    <cellStyle name="40% - akcent 4 3" xfId="468" xr:uid="{DE5A6748-279B-4F89-B5E1-074BCA93760C}"/>
    <cellStyle name="40% — akcent 4 3" xfId="971" xr:uid="{92E79869-780D-4259-B99B-15E185E472DB}"/>
    <cellStyle name="40% - akcent 4 3 2" xfId="469" xr:uid="{E9E27BDA-E470-4FCD-B8FF-2DFE76A9E76D}"/>
    <cellStyle name="40% - akcent 4 3 2 2" xfId="470" xr:uid="{C7E07B4E-E9CF-40D6-8D45-531EA8737B3D}"/>
    <cellStyle name="40% - akcent 4 3 3" xfId="471" xr:uid="{368C5A0C-9195-47EA-801D-8E1D763E1DA0}"/>
    <cellStyle name="40% - akcent 4 3_konsopro330" xfId="472" xr:uid="{FADACD56-E46F-48B4-AE22-769384E03F00}"/>
    <cellStyle name="40% - akcent 4 4" xfId="473" xr:uid="{5C2585D0-EB64-4668-A095-033B8EAA9DE7}"/>
    <cellStyle name="40% — akcent 4 4" xfId="974" xr:uid="{F4BE5B18-A21D-4003-8308-7A1E45365D74}"/>
    <cellStyle name="40% - akcent 4 4 2" xfId="474" xr:uid="{F5FAD6BD-450B-49DD-9A69-F5CEB017178F}"/>
    <cellStyle name="40% - akcent 4 4 2 2" xfId="475" xr:uid="{19B8F482-C452-4122-81DC-24EC502EA931}"/>
    <cellStyle name="40% - akcent 4 4 3" xfId="476" xr:uid="{E9543984-4F11-4903-BB9D-255984D4C49A}"/>
    <cellStyle name="40% - akcent 4 4_konsopro330" xfId="477" xr:uid="{BF830521-C8EC-4B24-A487-43F08958460D}"/>
    <cellStyle name="40% - akcent 4 5" xfId="478" xr:uid="{51A17C8A-509B-49EF-AA9D-BEC565DA8B20}"/>
    <cellStyle name="40% - akcent 4 5 2" xfId="479" xr:uid="{E8343A7C-5042-4A45-9B52-8564274FFB1C}"/>
    <cellStyle name="40% - akcent 4 5 2 2" xfId="480" xr:uid="{F7092942-3644-4BEC-9A6A-984E9C2953CC}"/>
    <cellStyle name="40% - akcent 4 5 3" xfId="481" xr:uid="{388BFFDC-A5BD-4040-92EA-00D95B8ABB74}"/>
    <cellStyle name="40% - akcent 4 5_konsopro330" xfId="482" xr:uid="{76F58FE1-0133-41FB-B805-EA4FE97E68B1}"/>
    <cellStyle name="40% - akcent 4 6" xfId="483" xr:uid="{231B6741-C698-407C-A90E-E3459D1F1246}"/>
    <cellStyle name="40% - akcent 4 6 2" xfId="484" xr:uid="{01AC1ED8-8C26-47C4-8481-7D040F75F015}"/>
    <cellStyle name="40% - akcent 4 6 2 2" xfId="485" xr:uid="{FF304CD7-66F4-4A9D-A9FF-DDD07EA5E6D6}"/>
    <cellStyle name="40% - akcent 4 6 3" xfId="486" xr:uid="{BE17FF50-5B0B-4839-9BEC-1B7700445EBE}"/>
    <cellStyle name="40% - akcent 4 6_konsopro330" xfId="487" xr:uid="{FE8A3327-92C5-4DEA-A175-C00065DB5B24}"/>
    <cellStyle name="40% - akcent 4 7" xfId="488" xr:uid="{15314054-67AC-4FF5-B56E-28D440F42B6C}"/>
    <cellStyle name="40% - akcent 4 7 2" xfId="489" xr:uid="{D63BF856-EF70-41F9-8A32-753D6A06969E}"/>
    <cellStyle name="40% - akcent 4 7 2 2" xfId="490" xr:uid="{DE086208-F797-45FD-9301-1EBFED48A24B}"/>
    <cellStyle name="40% - akcent 4 7 3" xfId="491" xr:uid="{351F8FEF-057C-4C50-B3E2-9363572787CA}"/>
    <cellStyle name="40% - akcent 4 7_konsopro330" xfId="492" xr:uid="{B19B6B39-39C7-4D8E-A310-556E2E8E9F53}"/>
    <cellStyle name="40% - akcent 4 8" xfId="493" xr:uid="{833D17AE-3A5E-43CA-8A23-B0DCFDAAA936}"/>
    <cellStyle name="40% - akcent 4 8 2" xfId="494" xr:uid="{6CDF88EB-ACAF-4288-8341-78DC8490FC3F}"/>
    <cellStyle name="40% - akcent 4 8 2 2" xfId="495" xr:uid="{0CBFFC32-A40C-4C0C-AC05-C26AF85E81A7}"/>
    <cellStyle name="40% - akcent 4 8 3" xfId="496" xr:uid="{989120B2-1C73-41BA-82AD-D662E1B0BC0D}"/>
    <cellStyle name="40% - akcent 4 8_konsopro330" xfId="497" xr:uid="{C45A1217-481C-4958-9E77-2416A6E0328D}"/>
    <cellStyle name="40% - akcent 4 9" xfId="498" xr:uid="{B6789CD2-A57A-49AB-A383-A4F49BF393D5}"/>
    <cellStyle name="40% - akcent 4 9 2" xfId="499" xr:uid="{AA525314-E531-4700-A18C-85FBFF3ABA07}"/>
    <cellStyle name="40% - akcent 4 9 2 2" xfId="500" xr:uid="{1CCF600E-00F9-4271-BFCD-6E3DA04682A3}"/>
    <cellStyle name="40% - akcent 4 9 3" xfId="501" xr:uid="{BA2F90A3-A825-4395-8ABD-9644E39A3A61}"/>
    <cellStyle name="40% - akcent 4 9_konsopro330" xfId="502" xr:uid="{78EF7AF4-E57B-4C07-8EC7-54D506BC4644}"/>
    <cellStyle name="40% - akcent 5 10" xfId="504" xr:uid="{2BC9E8CE-5AF3-4985-879B-99DC900EDDD8}"/>
    <cellStyle name="40% - akcent 5 10 2" xfId="505" xr:uid="{E8EDEB0B-EA2E-4323-BB0F-D002A439A5D5}"/>
    <cellStyle name="40% - akcent 5 10 2 2" xfId="506" xr:uid="{B07A780F-D832-45ED-991F-26F9C21B323D}"/>
    <cellStyle name="40% - akcent 5 10 3" xfId="507" xr:uid="{1D3DFE3D-87E1-4CF6-A69B-D2A1F85AA0D6}"/>
    <cellStyle name="40% - akcent 5 10_konsopro330" xfId="508" xr:uid="{274469A1-0E4E-41FB-A901-8CD880009BB0}"/>
    <cellStyle name="40% - akcent 5 11" xfId="509" xr:uid="{499BD151-BD4E-409A-9D77-5B97F241AB67}"/>
    <cellStyle name="40% - akcent 5 11 2" xfId="510" xr:uid="{1E29CBC7-E859-4739-A3BB-027F7AAD7D78}"/>
    <cellStyle name="40% - akcent 5 12" xfId="511" xr:uid="{341EB4F9-0FE1-4061-B73D-0282EE0C8204}"/>
    <cellStyle name="40% - akcent 5 2" xfId="512" xr:uid="{2C59C7C2-3F06-4F06-9292-54C53A839473}"/>
    <cellStyle name="40% — akcent 5 2" xfId="503" xr:uid="{90BBBF67-4C11-49FE-9404-148B6790A972}"/>
    <cellStyle name="40% - akcent 5 2 2" xfId="513" xr:uid="{0E5BB200-E26F-4E4C-B547-EEECAADAE0BC}"/>
    <cellStyle name="40% - akcent 5 2 2 2" xfId="514" xr:uid="{2C2D8ED4-EB80-4B17-A664-9747C7F4E180}"/>
    <cellStyle name="40% - akcent 5 2 3" xfId="515" xr:uid="{AA9DCB17-D990-4BAF-B05A-38C1B451EA6B}"/>
    <cellStyle name="40% - akcent 5 2_konsopro330" xfId="516" xr:uid="{1ED2E6B3-F6E2-4F2E-9B3A-786785DE3702}"/>
    <cellStyle name="40% - akcent 5 3" xfId="517" xr:uid="{4B6ACBC9-2539-41D5-AE95-DFB73BF15FF3}"/>
    <cellStyle name="40% — akcent 5 3" xfId="973" xr:uid="{43FFA534-6649-4591-A937-FAA31D1D9C02}"/>
    <cellStyle name="40% - akcent 5 3 2" xfId="518" xr:uid="{76251BBA-0FD7-4996-AEE9-9456E9BACA4C}"/>
    <cellStyle name="40% - akcent 5 3 2 2" xfId="519" xr:uid="{C3B7219A-BE34-4034-9DFB-DF62A5D58CA9}"/>
    <cellStyle name="40% - akcent 5 3 3" xfId="520" xr:uid="{88064EF1-FDBE-44EF-8FE4-CE2A644345BF}"/>
    <cellStyle name="40% - akcent 5 3_konsopro330" xfId="521" xr:uid="{E2D4B892-958D-4624-B3CF-2B1757377E69}"/>
    <cellStyle name="40% - akcent 5 4" xfId="522" xr:uid="{4B2FD213-0909-4700-811F-D1301C5B3248}"/>
    <cellStyle name="40% — akcent 5 4" xfId="972" xr:uid="{59C7C8A0-6D5D-4C65-9575-AA3F398D5361}"/>
    <cellStyle name="40% - akcent 5 4 2" xfId="523" xr:uid="{05B39070-682D-464C-BE09-9D3694290839}"/>
    <cellStyle name="40% - akcent 5 4 2 2" xfId="524" xr:uid="{F05AC631-AA4B-4833-9986-D42388695DE8}"/>
    <cellStyle name="40% - akcent 5 4 3" xfId="525" xr:uid="{FD2E024D-6C80-4A8C-8D61-3068F0AB2CBA}"/>
    <cellStyle name="40% - akcent 5 4_konsopro330" xfId="526" xr:uid="{DEEED303-42C0-4709-9C41-01D25E6A801B}"/>
    <cellStyle name="40% - akcent 5 5" xfId="527" xr:uid="{CEFEA172-52D1-4675-A1D0-208E617AAF55}"/>
    <cellStyle name="40% - akcent 5 5 2" xfId="528" xr:uid="{7D7DC59C-3B9D-4CC7-B0B8-30C072AAAB78}"/>
    <cellStyle name="40% - akcent 5 5 2 2" xfId="529" xr:uid="{CC7C74B7-5C14-4B6A-9630-5C63C6307DA7}"/>
    <cellStyle name="40% - akcent 5 5 3" xfId="530" xr:uid="{04D701BB-E1D2-4483-A187-B3207914288C}"/>
    <cellStyle name="40% - akcent 5 5_konsopro330" xfId="531" xr:uid="{EC684582-E81D-4C63-B765-DE51F505093C}"/>
    <cellStyle name="40% - akcent 5 6" xfId="532" xr:uid="{345F9703-6949-4F23-B1A9-EC888C75B60D}"/>
    <cellStyle name="40% - akcent 5 6 2" xfId="533" xr:uid="{D1068915-5C83-4C5E-BDAC-E7FC9A3FE46F}"/>
    <cellStyle name="40% - akcent 5 6 2 2" xfId="534" xr:uid="{246B1C6E-4B28-4E92-9A9C-F7414D7F1BB3}"/>
    <cellStyle name="40% - akcent 5 6 3" xfId="535" xr:uid="{993BBF17-CB8B-4E4F-AE90-BAE10EA4A38E}"/>
    <cellStyle name="40% - akcent 5 6_konsopro330" xfId="536" xr:uid="{BAA44821-5349-4413-9E5E-67542DF25428}"/>
    <cellStyle name="40% - akcent 5 7" xfId="537" xr:uid="{0CBB7BE0-020F-4670-B9AF-3BDC271DD26A}"/>
    <cellStyle name="40% - akcent 5 7 2" xfId="538" xr:uid="{A8404D20-5B17-41DE-A39E-09D1FC06A835}"/>
    <cellStyle name="40% - akcent 5 7 2 2" xfId="539" xr:uid="{302845D8-3FAE-4487-B3B2-70E6734385B6}"/>
    <cellStyle name="40% - akcent 5 7 3" xfId="540" xr:uid="{F6484AAE-BF4F-4644-8154-5E35D4F71762}"/>
    <cellStyle name="40% - akcent 5 7_konsopro330" xfId="541" xr:uid="{7619145F-A10A-478D-BD2D-3D59FA8612C2}"/>
    <cellStyle name="40% - akcent 5 8" xfId="542" xr:uid="{6208CB8A-BC1F-4C32-B146-FEEDDBE651DE}"/>
    <cellStyle name="40% - akcent 5 8 2" xfId="543" xr:uid="{5B12F083-8019-42EA-A978-8AD3676A2718}"/>
    <cellStyle name="40% - akcent 5 8 2 2" xfId="544" xr:uid="{35B3BA81-5339-4978-BBA8-4C8859FAB597}"/>
    <cellStyle name="40% - akcent 5 8 3" xfId="545" xr:uid="{9F26AD9C-82BA-46D3-AB94-9073CA37CAA7}"/>
    <cellStyle name="40% - akcent 5 8_konsopro330" xfId="546" xr:uid="{35BBDBD8-37C0-4735-BEFA-8E26EF3FD3D0}"/>
    <cellStyle name="40% - akcent 5 9" xfId="547" xr:uid="{04A9C31F-1AC4-4205-8F6A-B54B6CDAFFFE}"/>
    <cellStyle name="40% - akcent 5 9 2" xfId="548" xr:uid="{73586606-0802-4107-BD1A-2515C5E8E049}"/>
    <cellStyle name="40% - akcent 5 9 2 2" xfId="549" xr:uid="{79DC50BE-D7D0-458F-A1B7-0E3079B7B4B9}"/>
    <cellStyle name="40% - akcent 5 9 3" xfId="550" xr:uid="{7AB089B5-4FFF-4AA5-B9A3-A8704790A2C0}"/>
    <cellStyle name="40% - akcent 5 9_konsopro330" xfId="551" xr:uid="{F8CA8010-8CCB-4980-86BA-F3A4B2BB4E8A}"/>
    <cellStyle name="40% - akcent 6 10" xfId="553" xr:uid="{5EA0A9E5-5E40-4DB9-A224-24DC1818AF9B}"/>
    <cellStyle name="40% - akcent 6 10 2" xfId="554" xr:uid="{FB0518A3-BEC3-41E8-85AD-2556E29AFF11}"/>
    <cellStyle name="40% - akcent 6 10 2 2" xfId="555" xr:uid="{B71E3515-69F2-48F3-9FB1-229FB13689B3}"/>
    <cellStyle name="40% - akcent 6 10 3" xfId="556" xr:uid="{AE3A7D7C-7FA4-4AA8-A847-9120E803739C}"/>
    <cellStyle name="40% - akcent 6 10_konsopro330" xfId="557" xr:uid="{E6DC1675-949D-4C3C-B798-D1E50439EF32}"/>
    <cellStyle name="40% - akcent 6 11" xfId="558" xr:uid="{8AE57F2F-3662-4FE0-9746-CF24ABA7E945}"/>
    <cellStyle name="40% - akcent 6 11 2" xfId="559" xr:uid="{FEB34D26-5F70-4568-B82C-024DF60D33C2}"/>
    <cellStyle name="40% - akcent 6 12" xfId="560" xr:uid="{F0067971-A523-43B4-8A6E-0FDD690A0CE6}"/>
    <cellStyle name="40% - akcent 6 2" xfId="561" xr:uid="{5F3F7C7A-00F2-4747-A031-39BD4FC6C438}"/>
    <cellStyle name="40% — akcent 6 2" xfId="552" xr:uid="{F7B1DDFF-0558-4C73-A6BE-4E52D79CC356}"/>
    <cellStyle name="40% - akcent 6 2 2" xfId="562" xr:uid="{FED04335-2072-4901-8FB6-02B62FCEAE6F}"/>
    <cellStyle name="40% - akcent 6 2 2 2" xfId="563" xr:uid="{3DB524FE-7BF1-4A80-BF2E-548DE658605B}"/>
    <cellStyle name="40% - akcent 6 2 3" xfId="564" xr:uid="{172DD51C-7CBE-4A4D-865A-05A30EB7ED3F}"/>
    <cellStyle name="40% - akcent 6 2_konsopro330" xfId="565" xr:uid="{FA19A482-63F9-4983-9EAB-96C42DD1C79F}"/>
    <cellStyle name="40% - akcent 6 3" xfId="566" xr:uid="{E97E80EE-3706-4C19-9618-51F056C52586}"/>
    <cellStyle name="40% — akcent 6 3" xfId="975" xr:uid="{1C348CFC-3256-4F8F-A27C-31BA4F5B2E22}"/>
    <cellStyle name="40% - akcent 6 3 2" xfId="567" xr:uid="{6F87A114-5016-4A2D-8055-8C512DF3773C}"/>
    <cellStyle name="40% - akcent 6 3 2 2" xfId="568" xr:uid="{2527610D-52F2-4F62-906A-177D91AF76AE}"/>
    <cellStyle name="40% - akcent 6 3 3" xfId="569" xr:uid="{53AE3B47-9401-4BC5-87F1-5F40C78498C9}"/>
    <cellStyle name="40% - akcent 6 3_konsopro330" xfId="570" xr:uid="{B9F3D2D7-2C15-49E4-B60D-8732832B4A3A}"/>
    <cellStyle name="40% - akcent 6 4" xfId="571" xr:uid="{21C729A8-9152-428E-9A76-7934BCF7B2F1}"/>
    <cellStyle name="40% — akcent 6 4" xfId="970" xr:uid="{568013EA-E010-43B6-A8A9-919D1F50078A}"/>
    <cellStyle name="40% - akcent 6 4 2" xfId="572" xr:uid="{B58E3025-229B-4AD9-A890-C9E20FC3ED88}"/>
    <cellStyle name="40% - akcent 6 4 2 2" xfId="573" xr:uid="{5D50A89D-57F6-47FB-9EA1-325D6C0EB792}"/>
    <cellStyle name="40% - akcent 6 4 3" xfId="574" xr:uid="{0C20ADA8-9F93-416B-B96D-BBA7BB88DE0B}"/>
    <cellStyle name="40% - akcent 6 4_konsopro330" xfId="575" xr:uid="{52C95FF0-CEC0-4D36-9B75-8EC641985840}"/>
    <cellStyle name="40% - akcent 6 5" xfId="576" xr:uid="{06441D7C-06A2-4020-8A47-9A88A3922885}"/>
    <cellStyle name="40% - akcent 6 5 2" xfId="577" xr:uid="{28984365-36B4-420F-AA17-63DE2D68EB8E}"/>
    <cellStyle name="40% - akcent 6 5 2 2" xfId="578" xr:uid="{B43212FB-1DB0-4EAC-B040-0E014548FF56}"/>
    <cellStyle name="40% - akcent 6 5 3" xfId="579" xr:uid="{048601DD-6587-4AFB-A034-67CB7A4E81FF}"/>
    <cellStyle name="40% - akcent 6 5_konsopro330" xfId="580" xr:uid="{854F3032-159C-4E54-B640-6E1DE9D14B96}"/>
    <cellStyle name="40% - akcent 6 6" xfId="581" xr:uid="{CB96339A-6CE8-4666-ABD1-70AE9C7494A9}"/>
    <cellStyle name="40% - akcent 6 6 2" xfId="582" xr:uid="{BBFCA77B-6501-47FE-ADED-8C0C2B3BDB13}"/>
    <cellStyle name="40% - akcent 6 6 2 2" xfId="583" xr:uid="{584D4500-B93F-4F6A-A11C-7A3B2D542E60}"/>
    <cellStyle name="40% - akcent 6 6 3" xfId="584" xr:uid="{E99D24DB-E826-44DF-B487-3A4FD31B4B30}"/>
    <cellStyle name="40% - akcent 6 6_konsopro330" xfId="585" xr:uid="{3ABDF36D-FD70-43EB-906C-9F1AA55C5AB8}"/>
    <cellStyle name="40% - akcent 6 7" xfId="586" xr:uid="{3D7053AF-10E8-4940-9742-4B38D1A68037}"/>
    <cellStyle name="40% - akcent 6 7 2" xfId="587" xr:uid="{545363FE-B4BD-47D0-AA16-9DF679C4A6E0}"/>
    <cellStyle name="40% - akcent 6 7 2 2" xfId="588" xr:uid="{CEB867DE-4229-4379-9660-F46F4F6ED429}"/>
    <cellStyle name="40% - akcent 6 7 3" xfId="589" xr:uid="{1BB2DD56-4E4C-47F4-9522-4B814BF22A58}"/>
    <cellStyle name="40% - akcent 6 7_konsopro330" xfId="590" xr:uid="{4C9F8A67-89F2-4A62-8374-3C9CA75F3F0C}"/>
    <cellStyle name="40% - akcent 6 8" xfId="591" xr:uid="{F4D95B22-F92F-4C63-91D8-4B072A23B7E4}"/>
    <cellStyle name="40% - akcent 6 8 2" xfId="592" xr:uid="{8D82929D-E058-478D-BD0D-484A7C74D200}"/>
    <cellStyle name="40% - akcent 6 8 2 2" xfId="593" xr:uid="{C7E184A6-9550-430D-8D1A-86E833448970}"/>
    <cellStyle name="40% - akcent 6 8 3" xfId="594" xr:uid="{C5FE7BFB-1457-46CD-83B0-09F07DF5ADA8}"/>
    <cellStyle name="40% - akcent 6 8_konsopro330" xfId="595" xr:uid="{39253A3B-816F-4B54-8304-25097D95945E}"/>
    <cellStyle name="40% - akcent 6 9" xfId="596" xr:uid="{B69F1127-D22D-4716-9E24-3204405FF1A9}"/>
    <cellStyle name="40% - akcent 6 9 2" xfId="597" xr:uid="{7A93EB98-CAC3-40A1-8E91-EFDCFFD9EB0F}"/>
    <cellStyle name="40% - akcent 6 9 2 2" xfId="598" xr:uid="{F1CDEAC0-27D4-448A-BD34-388388CF93FA}"/>
    <cellStyle name="40% - akcent 6 9 3" xfId="599" xr:uid="{F3515C36-735B-4444-94D0-57EE69A0013D}"/>
    <cellStyle name="40% - akcent 6 9_konsopro330" xfId="600" xr:uid="{9E28DD30-51C4-453F-9FAA-DF6874019BA3}"/>
    <cellStyle name="49" xfId="8" xr:uid="{C98581FD-2406-4546-8410-6417985DFCBC}"/>
    <cellStyle name="60% - akcent 1 10" xfId="602" xr:uid="{215DBC7F-F8AA-4A3D-B4E5-CE516AAE61B1}"/>
    <cellStyle name="60% - akcent 1 2" xfId="603" xr:uid="{294B5E0F-1F1F-45A3-A818-5DDA1AEF3745}"/>
    <cellStyle name="60% — akcent 1 2" xfId="601" xr:uid="{611936A8-879B-4D68-BA24-D34958D455A9}"/>
    <cellStyle name="60% - akcent 1 3" xfId="604" xr:uid="{F034AE7F-D18A-4F66-906E-7CBEEB6D5D90}"/>
    <cellStyle name="60% — akcent 1 3" xfId="977" xr:uid="{F0E671CE-DCF2-4980-8B3D-A725EC42E714}"/>
    <cellStyle name="60% - akcent 1 4" xfId="605" xr:uid="{AE6B6E26-BE73-4E29-8585-CF8F78B4506B}"/>
    <cellStyle name="60% — akcent 1 4" xfId="968" xr:uid="{0BE57529-33CD-45A5-AD9A-D77DA48C9590}"/>
    <cellStyle name="60% - akcent 1 5" xfId="606" xr:uid="{6C86915B-9F01-4918-805B-E9A7F663CF16}"/>
    <cellStyle name="60% - akcent 1 6" xfId="607" xr:uid="{0B2DB2FC-C39C-4A2D-86F3-F2DC8EBD38FD}"/>
    <cellStyle name="60% - akcent 1 7" xfId="608" xr:uid="{0FE87412-587E-4F8A-AFAF-CCAEE9843E3D}"/>
    <cellStyle name="60% - akcent 1 8" xfId="609" xr:uid="{E01531A7-304C-4755-903D-4F0A04BEAAE9}"/>
    <cellStyle name="60% - akcent 1 9" xfId="610" xr:uid="{8F199F75-2C13-4588-8CFF-E9804562DC17}"/>
    <cellStyle name="60% - akcent 2 10" xfId="612" xr:uid="{C6165D02-D7A9-4317-8277-489ABBDFCE5A}"/>
    <cellStyle name="60% - akcent 2 2" xfId="613" xr:uid="{0B6B67F4-533A-4428-9290-FA5A05AF7E3B}"/>
    <cellStyle name="60% — akcent 2 2" xfId="611" xr:uid="{409362AD-6E79-4B51-AC3E-FD5284FA088A}"/>
    <cellStyle name="60% - akcent 2 3" xfId="614" xr:uid="{6EC154A9-AD71-444D-8C4F-C6D42B0F8003}"/>
    <cellStyle name="60% — akcent 2 3" xfId="978" xr:uid="{CA22E662-2426-40D3-B145-8BF2C9071473}"/>
    <cellStyle name="60% - akcent 2 4" xfId="615" xr:uid="{3F21AA11-903C-4EC0-8D5A-E437BDCE8F70}"/>
    <cellStyle name="60% — akcent 2 4" xfId="966" xr:uid="{0DAA52CA-25E7-4CB0-B09A-9934EBED576B}"/>
    <cellStyle name="60% - akcent 2 5" xfId="616" xr:uid="{BD757AFD-AE55-4CD0-9C1E-ABD41F1D40D0}"/>
    <cellStyle name="60% - akcent 2 6" xfId="617" xr:uid="{29262084-444C-40A0-AC3F-27A4D8ECD3AA}"/>
    <cellStyle name="60% - akcent 2 7" xfId="618" xr:uid="{40426F73-BAD0-40E9-992B-E64FE0652142}"/>
    <cellStyle name="60% - akcent 2 8" xfId="619" xr:uid="{AA93CCD7-A490-4CFA-8A68-224CC140E0CE}"/>
    <cellStyle name="60% - akcent 2 9" xfId="620" xr:uid="{234EB342-877D-4A54-A1A2-E992BFEBE31C}"/>
    <cellStyle name="60% - akcent 3 10" xfId="622" xr:uid="{BB72DB82-B13A-4354-B44C-D78FEEC911D0}"/>
    <cellStyle name="60% - akcent 3 2" xfId="623" xr:uid="{EE1C6C84-C3CE-42BA-BFD6-3683B345D480}"/>
    <cellStyle name="60% — akcent 3 2" xfId="621" xr:uid="{21669073-8A17-45CF-961E-7F17CBA0C93B}"/>
    <cellStyle name="60% - akcent 3 3" xfId="624" xr:uid="{C3161B15-DA4A-4242-BEED-5F2994E806AF}"/>
    <cellStyle name="60% — akcent 3 3" xfId="980" xr:uid="{3FD78E63-975F-49F8-B2A2-6B15443CBF4E}"/>
    <cellStyle name="60% - akcent 3 4" xfId="625" xr:uid="{AFB3EB30-B0AC-45D5-958A-AE255BD19803}"/>
    <cellStyle name="60% — akcent 3 4" xfId="965" xr:uid="{BFC7F2E5-D970-46D2-AFA9-2AB8F3B11631}"/>
    <cellStyle name="60% - akcent 3 5" xfId="626" xr:uid="{B8DEB12D-530E-4695-BF2D-5E90C99B35B3}"/>
    <cellStyle name="60% - akcent 3 6" xfId="627" xr:uid="{82EEC652-88CB-4724-911D-005A34BA3E79}"/>
    <cellStyle name="60% - akcent 3 7" xfId="628" xr:uid="{3898EB5B-B0B1-4EC8-A56A-27B3B0CDCF12}"/>
    <cellStyle name="60% - akcent 3 8" xfId="629" xr:uid="{F1F9525F-C00B-4A03-A309-8AA82CA1103E}"/>
    <cellStyle name="60% - akcent 3 9" xfId="630" xr:uid="{3EA77FA3-B75F-459B-BB3C-D5AB462F4378}"/>
    <cellStyle name="60% - akcent 4 10" xfId="632" xr:uid="{76C37773-27B1-420A-BF9C-A6C1C768F03A}"/>
    <cellStyle name="60% - akcent 4 2" xfId="633" xr:uid="{EA39BD40-D52C-435B-B952-0F4A2C938FB0}"/>
    <cellStyle name="60% — akcent 4 2" xfId="631" xr:uid="{92C2BEB7-7795-4780-B75F-EFB372284B09}"/>
    <cellStyle name="60% - akcent 4 3" xfId="634" xr:uid="{562ED755-0F55-4B00-97D1-2DE575654B02}"/>
    <cellStyle name="60% — akcent 4 3" xfId="981" xr:uid="{70EA2C68-F7E2-4F9C-A6A3-717418D0425B}"/>
    <cellStyle name="60% - akcent 4 4" xfId="635" xr:uid="{E78ABA92-3BAD-4DC5-A652-B0DB8DDF62B6}"/>
    <cellStyle name="60% — akcent 4 4" xfId="964" xr:uid="{230EDDE5-1480-4503-9709-A04DC62B0B38}"/>
    <cellStyle name="60% - akcent 4 5" xfId="636" xr:uid="{F735EA0F-33AD-4D1B-BEFC-C11BB9AD3767}"/>
    <cellStyle name="60% - akcent 4 6" xfId="637" xr:uid="{0DFBA5A8-E58C-4F17-8C13-D0CE24C9AC9E}"/>
    <cellStyle name="60% - akcent 4 7" xfId="638" xr:uid="{6D749A2D-72FC-4846-A9F9-E0573E105B8C}"/>
    <cellStyle name="60% - akcent 4 8" xfId="639" xr:uid="{589D2E24-E6D3-4C9A-9EE3-F05AF00C1315}"/>
    <cellStyle name="60% - akcent 4 9" xfId="640" xr:uid="{FBDAD15B-4147-4232-8FFF-FBA0BC93D5AA}"/>
    <cellStyle name="60% - akcent 5 10" xfId="642" xr:uid="{177AF947-6F64-4BAF-9D17-32C7ADC5A373}"/>
    <cellStyle name="60% - akcent 5 2" xfId="643" xr:uid="{4D0F10D9-C90A-4912-8144-B0436BEEAB77}"/>
    <cellStyle name="60% — akcent 5 2" xfId="641" xr:uid="{C5414327-A687-407E-9116-8B97BC3D0790}"/>
    <cellStyle name="60% - akcent 5 3" xfId="644" xr:uid="{8AB076F9-1A9A-4871-ACE2-8B36B68693EA}"/>
    <cellStyle name="60% — akcent 5 3" xfId="982" xr:uid="{802B56A4-3D58-4E95-AF92-082ED245E942}"/>
    <cellStyle name="60% - akcent 5 4" xfId="645" xr:uid="{5D1A4CE3-0F6F-4521-A967-39EA0DB8AE6F}"/>
    <cellStyle name="60% — akcent 5 4" xfId="963" xr:uid="{49E779AE-BB86-439A-BC3F-3AFB13E430A6}"/>
    <cellStyle name="60% - akcent 5 5" xfId="646" xr:uid="{B33C99AA-9100-453D-A786-D262ECA9FF89}"/>
    <cellStyle name="60% - akcent 5 6" xfId="647" xr:uid="{36D4DCED-BDF4-4BD5-98F6-D7C3186FF486}"/>
    <cellStyle name="60% - akcent 5 7" xfId="648" xr:uid="{46FBB766-7EFD-4D0B-9043-37229D03FED7}"/>
    <cellStyle name="60% - akcent 5 8" xfId="649" xr:uid="{6C4B18A2-966B-429B-A551-46AFEE49E1EB}"/>
    <cellStyle name="60% - akcent 5 9" xfId="650" xr:uid="{2A5BA955-88A2-4780-A15B-6A6240C0A50E}"/>
    <cellStyle name="60% - akcent 6 10" xfId="652" xr:uid="{ED07A2CE-C4FF-41D2-83E9-CDDD90C3FDD1}"/>
    <cellStyle name="60% - akcent 6 2" xfId="653" xr:uid="{76959D52-CA07-47B7-A190-CEFCCDEDDE22}"/>
    <cellStyle name="60% — akcent 6 2" xfId="651" xr:uid="{E8F20DEE-F921-4937-BD6F-E3E1DFAC223F}"/>
    <cellStyle name="60% - akcent 6 3" xfId="654" xr:uid="{925E15FF-ECDE-41F8-9980-B7A6783726B2}"/>
    <cellStyle name="60% — akcent 6 3" xfId="983" xr:uid="{6E9CCC22-4254-4774-8B64-9E807C4EF913}"/>
    <cellStyle name="60% - akcent 6 4" xfId="655" xr:uid="{510D9AD2-27A5-4427-8A71-58B39FDA1AB1}"/>
    <cellStyle name="60% — akcent 6 4" xfId="962" xr:uid="{1E639238-FEEA-4762-8FC7-5CAF2A09091E}"/>
    <cellStyle name="60% - akcent 6 5" xfId="656" xr:uid="{043432E0-C9C7-48C6-9BE8-92F56F5E2478}"/>
    <cellStyle name="60% - akcent 6 6" xfId="657" xr:uid="{9F281BBD-8498-4BC1-9F3C-0F0C490CE656}"/>
    <cellStyle name="60% - akcent 6 7" xfId="658" xr:uid="{2B092E14-C443-4C3B-923B-3FA9F804855A}"/>
    <cellStyle name="60% - akcent 6 8" xfId="659" xr:uid="{69EBAA23-6B67-44AE-AC93-122302187284}"/>
    <cellStyle name="60% - akcent 6 9" xfId="660" xr:uid="{D92676DB-79DF-446C-8A13-1D6F03CDA920}"/>
    <cellStyle name="AF Column - IBM Cognos" xfId="993" xr:uid="{0F6FA866-E852-431F-8A9D-45C7FCD522DB}"/>
    <cellStyle name="AF Data - IBM Cognos" xfId="994" xr:uid="{5444DBEC-768A-42A1-946B-614F7517A3B2}"/>
    <cellStyle name="AF Data 0 - IBM Cognos" xfId="995" xr:uid="{2316359A-E505-4B5C-87F8-C33BEA97C2C1}"/>
    <cellStyle name="AF Data 1 - IBM Cognos" xfId="996" xr:uid="{9B458249-428A-4E89-AD73-260DB8D135D0}"/>
    <cellStyle name="AF Data 2 - IBM Cognos" xfId="997" xr:uid="{3BDC06D4-0680-47E8-AF89-414D4183A140}"/>
    <cellStyle name="AF Data 3 - IBM Cognos" xfId="998" xr:uid="{4A1B896E-907B-45C1-A09D-7C03BC801D63}"/>
    <cellStyle name="AF Data 4 - IBM Cognos" xfId="999" xr:uid="{9D09337B-EB1C-4A39-A3C1-680E8558548F}"/>
    <cellStyle name="AF Data 5 - IBM Cognos" xfId="1000" xr:uid="{68F32C9C-CEEB-4B6B-BB33-87C2D4764C23}"/>
    <cellStyle name="AF Data Leaf - IBM Cognos" xfId="1001" xr:uid="{19D13C1B-C02D-4D3F-AB82-FE6AF5F63CC7}"/>
    <cellStyle name="AF Header - IBM Cognos" xfId="1002" xr:uid="{D97DE51E-411A-41EC-A19E-7E16EBFE43EB}"/>
    <cellStyle name="AF Header 0 - IBM Cognos" xfId="1003" xr:uid="{D2165768-BBB3-4E38-B219-47952B71CB82}"/>
    <cellStyle name="AF Header 1 - IBM Cognos" xfId="1004" xr:uid="{588B0F2D-21EF-4252-9041-3D41545BF94A}"/>
    <cellStyle name="AF Header 2 - IBM Cognos" xfId="1005" xr:uid="{25990057-8C14-480A-A3FA-61CD142656CD}"/>
    <cellStyle name="AF Header 3 - IBM Cognos" xfId="1006" xr:uid="{46EB4A59-DF02-4CD0-BBD7-872E970B539A}"/>
    <cellStyle name="AF Header 4 - IBM Cognos" xfId="1007" xr:uid="{16A4CF66-4320-49C7-9ADE-BCF061887E61}"/>
    <cellStyle name="AF Header 5 - IBM Cognos" xfId="1008" xr:uid="{0F1D8AFA-E56F-4996-A482-FDB46F527E26}"/>
    <cellStyle name="AF Header Leaf - IBM Cognos" xfId="1009" xr:uid="{2EFF0F44-4A3B-434C-B4B4-8F5902C87F3A}"/>
    <cellStyle name="AF Row - IBM Cognos" xfId="1010" xr:uid="{E1BEF45D-FCED-40F8-9019-D3C1E65E0C13}"/>
    <cellStyle name="AF Row 0 - IBM Cognos" xfId="1011" xr:uid="{7DEB1AB3-0A1F-4540-8AAF-C49EEDCD91ED}"/>
    <cellStyle name="AF Row 1 - IBM Cognos" xfId="1012" xr:uid="{18E8673C-81E9-4260-A470-D8355A65BC3B}"/>
    <cellStyle name="AF Row 2 - IBM Cognos" xfId="1013" xr:uid="{EAB65622-49CD-4B15-9C39-657BC965FF49}"/>
    <cellStyle name="AF Row 3 - IBM Cognos" xfId="1014" xr:uid="{24D5DB4B-1247-4639-B6FC-74509600D693}"/>
    <cellStyle name="AF Row 4 - IBM Cognos" xfId="1015" xr:uid="{8E741234-678A-469D-8FFA-1341E1E2B9E3}"/>
    <cellStyle name="AF Row 5 - IBM Cognos" xfId="1016" xr:uid="{8F8D8939-4096-4853-A710-BB091DD71B80}"/>
    <cellStyle name="AF Row Leaf - IBM Cognos" xfId="1017" xr:uid="{84B9A167-498D-4052-8A9A-6F64ADB78771}"/>
    <cellStyle name="AF Subnm - IBM Cognos" xfId="1018" xr:uid="{C380C415-FD39-4F7F-AA56-0A9001A40414}"/>
    <cellStyle name="AF Title - IBM Cognos" xfId="1019" xr:uid="{19EA63DD-2C96-4407-AB82-6750E5C26D01}"/>
    <cellStyle name="Akcent 1 10" xfId="662" xr:uid="{62FD8E4A-8B7A-444F-9AD4-CFFBB304F992}"/>
    <cellStyle name="Akcent 1 11" xfId="661" xr:uid="{B6DBB29C-6106-4A5C-AB78-89C5D2250DD9}"/>
    <cellStyle name="Akcent 1 2" xfId="663" xr:uid="{B29AA01D-C1B0-4924-8190-C52A9B48EC9E}"/>
    <cellStyle name="Akcent 1 3" xfId="664" xr:uid="{800B6B37-1B3F-48C7-B5F5-0018D9A1B5A3}"/>
    <cellStyle name="Akcent 1 4" xfId="665" xr:uid="{851B71CD-23D7-4573-A9B9-FFB7BFCA77E2}"/>
    <cellStyle name="Akcent 1 5" xfId="666" xr:uid="{4530C231-1DDC-4034-BC7B-23FDDD58EFDA}"/>
    <cellStyle name="Akcent 1 6" xfId="667" xr:uid="{92C9A11D-06C5-4E28-A9E2-10F8470B9098}"/>
    <cellStyle name="Akcent 1 7" xfId="668" xr:uid="{EBD991AD-65FE-4426-89E0-E3642B427462}"/>
    <cellStyle name="Akcent 1 8" xfId="669" xr:uid="{F175DEB9-6D34-4176-B435-C5A2C02AD9AA}"/>
    <cellStyle name="Akcent 1 9" xfId="670" xr:uid="{0ABF14FA-0D77-4420-841B-8D123B7B7241}"/>
    <cellStyle name="Akcent 2 10" xfId="672" xr:uid="{6416CF40-7048-4320-AA07-1C73C739107D}"/>
    <cellStyle name="Akcent 2 11" xfId="671" xr:uid="{84A2984D-9A32-4D15-9319-8F3CB887F63C}"/>
    <cellStyle name="Akcent 2 2" xfId="673" xr:uid="{0C963505-6CA3-471F-AB1C-05DCF5F177E1}"/>
    <cellStyle name="Akcent 2 3" xfId="674" xr:uid="{AD23B554-F5BF-416E-856E-0C13B9AAD73B}"/>
    <cellStyle name="Akcent 2 4" xfId="675" xr:uid="{246A9E03-904F-4F81-BFA2-7D09A6DF9E1D}"/>
    <cellStyle name="Akcent 2 5" xfId="676" xr:uid="{23883E17-8602-4ACD-95E3-6DFE0EA2654C}"/>
    <cellStyle name="Akcent 2 6" xfId="677" xr:uid="{235EF693-277D-4299-9A34-1E4C5EEA565C}"/>
    <cellStyle name="Akcent 2 7" xfId="678" xr:uid="{90D5214E-3F47-4B22-B87F-E6C212172994}"/>
    <cellStyle name="Akcent 2 8" xfId="679" xr:uid="{E2E5AC59-7EF1-41B9-BFCE-FD08ADA76DB9}"/>
    <cellStyle name="Akcent 2 9" xfId="680" xr:uid="{D59597CD-9A55-4E36-9F86-E299A2790E3A}"/>
    <cellStyle name="Akcent 3 10" xfId="682" xr:uid="{E977DF41-26C8-428E-8581-BBE2F8FF089C}"/>
    <cellStyle name="Akcent 3 11" xfId="681" xr:uid="{AF402386-A33F-4BD0-9E8F-FC2D67949565}"/>
    <cellStyle name="Akcent 3 2" xfId="683" xr:uid="{6F978837-051B-4199-B32C-789FFAF9749A}"/>
    <cellStyle name="Akcent 3 3" xfId="684" xr:uid="{613CFD8E-5B4F-4F0A-BCD2-901286A4615F}"/>
    <cellStyle name="Akcent 3 4" xfId="685" xr:uid="{C6FC7508-8AA1-48D3-9A96-E05DCED0CF19}"/>
    <cellStyle name="Akcent 3 5" xfId="686" xr:uid="{406018EF-A353-47EA-AF3B-A1CDDA186F83}"/>
    <cellStyle name="Akcent 3 6" xfId="687" xr:uid="{7298CAF1-2A67-446F-9F35-2B1C045F8CB5}"/>
    <cellStyle name="Akcent 3 7" xfId="688" xr:uid="{A9617DEB-1D6A-422F-9914-003A837E30CD}"/>
    <cellStyle name="Akcent 3 8" xfId="689" xr:uid="{4765006B-9030-4067-B1E2-CC03838CB643}"/>
    <cellStyle name="Akcent 3 9" xfId="690" xr:uid="{8EC2357B-25D4-4E68-8697-FBBB5A3DE3AA}"/>
    <cellStyle name="Akcent 4 10" xfId="692" xr:uid="{8E8AF82F-3F05-4AC7-AC65-501F5B92C22F}"/>
    <cellStyle name="Akcent 4 11" xfId="691" xr:uid="{1A3CEB36-8260-4D6D-B0C6-7BE595456CF2}"/>
    <cellStyle name="Akcent 4 2" xfId="693" xr:uid="{8977D5F8-D98B-409A-9E57-D767057BDBAD}"/>
    <cellStyle name="Akcent 4 3" xfId="694" xr:uid="{979C2E7E-4E11-4FF6-A774-30342FD5862D}"/>
    <cellStyle name="Akcent 4 4" xfId="695" xr:uid="{9D6919BC-3FAC-4DF1-AF49-028CFB348977}"/>
    <cellStyle name="Akcent 4 5" xfId="696" xr:uid="{0CC3D3F8-0B5D-436F-BCB8-17BAC7EA1DEC}"/>
    <cellStyle name="Akcent 4 6" xfId="697" xr:uid="{F31A689E-0C7D-40A5-92C1-5202B7699306}"/>
    <cellStyle name="Akcent 4 7" xfId="698" xr:uid="{D4529DEE-CF23-4C1F-9403-E0A9CE898860}"/>
    <cellStyle name="Akcent 4 8" xfId="699" xr:uid="{E7C3E88A-A88F-4044-A4E0-4237061584E1}"/>
    <cellStyle name="Akcent 4 9" xfId="700" xr:uid="{95BFA362-A5BE-4225-A7FF-A30D20D97726}"/>
    <cellStyle name="Akcent 5 10" xfId="702" xr:uid="{01BACC54-60C8-45F8-9AA5-68ED47880ADE}"/>
    <cellStyle name="Akcent 5 11" xfId="701" xr:uid="{EFA45D14-810C-4522-8A15-125E17D013E2}"/>
    <cellStyle name="Akcent 5 2" xfId="703" xr:uid="{6D8CD75D-6E36-4C3A-8BA1-D73FF59D4F03}"/>
    <cellStyle name="Akcent 5 3" xfId="704" xr:uid="{74F5D54C-6E06-44A1-8BE7-AD475999D8ED}"/>
    <cellStyle name="Akcent 5 4" xfId="705" xr:uid="{98A4B0ED-5DB1-4AB8-A9C9-8B0780F86E01}"/>
    <cellStyle name="Akcent 5 5" xfId="706" xr:uid="{33521060-B9AB-4722-9E6A-F1C57BAC43DC}"/>
    <cellStyle name="Akcent 5 6" xfId="707" xr:uid="{4DAEDB15-E0E8-4AA5-940C-F7FE7CC70C0B}"/>
    <cellStyle name="Akcent 5 7" xfId="708" xr:uid="{6342B4F1-0E88-4DBF-B797-3F17D6C6BA5C}"/>
    <cellStyle name="Akcent 5 8" xfId="709" xr:uid="{6E4F6632-E66A-4B29-8377-DC0ADA332C2A}"/>
    <cellStyle name="Akcent 5 9" xfId="710" xr:uid="{5757C69A-4B0D-45EC-81A4-8AF2D96CD247}"/>
    <cellStyle name="Akcent 6 10" xfId="712" xr:uid="{E92BC7D8-79EF-449B-8CF2-130E06EA2983}"/>
    <cellStyle name="Akcent 6 11" xfId="711" xr:uid="{30B73F07-92E6-4E50-BB3E-F29F8E1C5B1B}"/>
    <cellStyle name="Akcent 6 2" xfId="713" xr:uid="{9A12A202-6AF3-4FD1-B4D4-8D1A94F5ABED}"/>
    <cellStyle name="Akcent 6 3" xfId="714" xr:uid="{D7A50557-2B71-4D69-97CB-60B2D701006C}"/>
    <cellStyle name="Akcent 6 4" xfId="715" xr:uid="{6E897680-DE5A-4378-93AA-D0F70184FCBD}"/>
    <cellStyle name="Akcent 6 5" xfId="716" xr:uid="{E87C162A-63A8-4D0F-B54B-D2122F2B5E2D}"/>
    <cellStyle name="Akcent 6 6" xfId="717" xr:uid="{A3D76CA2-41CF-4C12-8BDB-F79BE4F3A8A6}"/>
    <cellStyle name="Akcent 6 7" xfId="718" xr:uid="{75758192-94C8-4B4A-8AF6-4546CB6F3464}"/>
    <cellStyle name="Akcent 6 8" xfId="719" xr:uid="{6C7E65DA-79EB-4278-9B1A-B34B9C264B81}"/>
    <cellStyle name="Akcent 6 9" xfId="720" xr:uid="{E7F456D5-FE71-40A1-B406-D2EFA090C7EF}"/>
    <cellStyle name="Calculated Column - IBM Cognos" xfId="1020" xr:uid="{3AFFF17E-E6F0-44C0-83B3-40A9EA245517}"/>
    <cellStyle name="Calculated Column Name - IBM Cognos" xfId="1021" xr:uid="{1FA80977-4E94-424F-93F8-9B41D96F1D2F}"/>
    <cellStyle name="Calculated Row - IBM Cognos" xfId="1022" xr:uid="{A6518A5D-0E12-4F2D-98AD-CF3F6266DAD1}"/>
    <cellStyle name="Calculated Row Name - IBM Cognos" xfId="1023" xr:uid="{0ADE62A1-CA22-43C7-AF30-6C632FA3D967}"/>
    <cellStyle name="Column Name - IBM Cognos" xfId="1024" xr:uid="{B8E3F2E6-A3C7-4E6D-BA78-CA353D3DC5EE}"/>
    <cellStyle name="Column Template - IBM Cognos" xfId="1025" xr:uid="{6B093795-ABA8-4B64-B61E-0F24DB1C7830}"/>
    <cellStyle name="Dane wejściowe 10" xfId="721" xr:uid="{A9892D39-03AA-4EDF-856F-0FFB6D9B0E78}"/>
    <cellStyle name="Dane wejściowe 2" xfId="722" xr:uid="{5C09B76A-049C-4A87-AFAB-916CEF93E969}"/>
    <cellStyle name="Dane wejściowe 3" xfId="723" xr:uid="{C214A814-17FD-4B39-9248-E098D5EBC98C}"/>
    <cellStyle name="Dane wejściowe 4" xfId="724" xr:uid="{DBF16B3C-02B4-4739-A1F1-92ED66AD20C5}"/>
    <cellStyle name="Dane wejściowe 5" xfId="725" xr:uid="{11F47753-CDB6-44AB-BC02-925B8A93BD6F}"/>
    <cellStyle name="Dane wejściowe 6" xfId="726" xr:uid="{F9151945-F139-4773-9CCB-3AEA1A728552}"/>
    <cellStyle name="Dane wejściowe 7" xfId="727" xr:uid="{AF9A1A95-50E8-42C3-ADDA-0B08BD194AA2}"/>
    <cellStyle name="Dane wejściowe 8" xfId="728" xr:uid="{AFCB04B3-41D7-4B59-9A98-715D2CC1122F}"/>
    <cellStyle name="Dane wejściowe 9" xfId="729" xr:uid="{EEE4B280-48BC-4E59-BEDA-66EA8E54AB6F}"/>
    <cellStyle name="Dane wyjściowe 10" xfId="730" xr:uid="{CC56158C-B28F-4741-95E6-218580EAFC97}"/>
    <cellStyle name="Dane wyjściowe 2" xfId="731" xr:uid="{7E794068-E54C-4D95-9A27-BCA48EFB9381}"/>
    <cellStyle name="Dane wyjściowe 3" xfId="732" xr:uid="{5218EA43-CB27-48F0-96C5-A4F81755F55F}"/>
    <cellStyle name="Dane wyjściowe 4" xfId="733" xr:uid="{BD683010-A577-4EB2-B317-D7B2638CE7D8}"/>
    <cellStyle name="Dane wyjściowe 5" xfId="734" xr:uid="{32A6002F-B5A2-4078-BD25-B949DA10BB8D}"/>
    <cellStyle name="Dane wyjściowe 6" xfId="735" xr:uid="{30E0CA03-FE1F-4DD0-9F95-565F23B7F3E7}"/>
    <cellStyle name="Dane wyjściowe 7" xfId="736" xr:uid="{55A79A57-33BD-4372-A2E1-6E19FA8A92B5}"/>
    <cellStyle name="Dane wyjściowe 8" xfId="737" xr:uid="{6F181C9E-FBC0-4BBE-AC2C-2C3A5352255B}"/>
    <cellStyle name="Dane wyjściowe 9" xfId="738" xr:uid="{414BDA17-878A-458D-A9C3-CD0CC28653DD}"/>
    <cellStyle name="Differs From Base - IBM Cognos" xfId="1026" xr:uid="{9D217162-46AB-4B4E-B560-1B6A17856BFB}"/>
    <cellStyle name="DM_Liczba" xfId="3" xr:uid="{00000000-0005-0000-0000-000000000000}"/>
    <cellStyle name="do_danych_szczegolowych" xfId="739" xr:uid="{FF694C97-7EA0-4CF9-90FF-F4CD78A73D38}"/>
    <cellStyle name="Dobre 10" xfId="741" xr:uid="{235F342F-051B-4D07-82BB-7E4171335E61}"/>
    <cellStyle name="Dobre 2" xfId="742" xr:uid="{1FA0054C-8AC6-47BD-9964-66F3800532AF}"/>
    <cellStyle name="Dobre 3" xfId="743" xr:uid="{0CF3A6EF-7DA0-4AA3-8CEB-EC4CF5F16C7B}"/>
    <cellStyle name="Dobre 4" xfId="744" xr:uid="{8F4364E7-9D22-4767-AC87-F218E9F51600}"/>
    <cellStyle name="Dobre 5" xfId="745" xr:uid="{D9E42E03-3966-4074-98A7-FA64C51C577C}"/>
    <cellStyle name="Dobre 6" xfId="746" xr:uid="{4D7A01DE-9FDE-4579-A3CD-66AB411E59DE}"/>
    <cellStyle name="Dobre 7" xfId="747" xr:uid="{D75AB3BF-BDE2-46BC-A0C6-E26AFCBE8FE3}"/>
    <cellStyle name="Dobre 8" xfId="748" xr:uid="{B91B656C-300D-44A0-8C96-59216F72C320}"/>
    <cellStyle name="Dobre 9" xfId="749" xr:uid="{FBEA3F4D-BEB5-4141-AB06-3D854C2F62B2}"/>
    <cellStyle name="Dobry 2" xfId="740" xr:uid="{62A3EEBB-BAB8-493C-9F16-E7FB85481C8E}"/>
    <cellStyle name="DQR Column 0 - IBM Cognos" xfId="1027" xr:uid="{FC8270C1-A924-4546-A0FC-DB74DDAFB268}"/>
    <cellStyle name="DQR Column 1 - IBM Cognos" xfId="1028" xr:uid="{B4208D32-8C0C-47D9-BB79-9015B8047B09}"/>
    <cellStyle name="DQR Column 2 - IBM Cognos" xfId="1029" xr:uid="{55B4D531-87BE-496A-89C9-627053D6C41A}"/>
    <cellStyle name="DQR Column 3 - IBM Cognos" xfId="1030" xr:uid="{30A33087-A6D9-4451-9602-BE1A3493E37C}"/>
    <cellStyle name="DQR Column 4 - IBM Cognos" xfId="1031" xr:uid="{12FC9BC1-6A04-4662-AC93-F3C797667C35}"/>
    <cellStyle name="DQR Column 5 - IBM Cognos" xfId="1032" xr:uid="{C87B2EE8-C1F0-4818-87D0-D6750424DAE2}"/>
    <cellStyle name="DQR Column Default - IBM Cognos" xfId="1033" xr:uid="{571EF676-1CD2-4DCD-9F37-4191F1359284}"/>
    <cellStyle name="DQR Column Leaf - IBM Cognos" xfId="1034" xr:uid="{D210F085-CCD1-4557-9457-0BA645925F81}"/>
    <cellStyle name="DQR Data Default - IBM Cognos" xfId="1035" xr:uid="{99BC1BDF-F300-4B5C-9170-A31CB0C0B86C}"/>
    <cellStyle name="DQR Default - IBM Cognos" xfId="1036" xr:uid="{6A23D0BE-7658-4CEB-B005-DF4F4A60E51D}"/>
    <cellStyle name="DQR Row 0 - IBM Cognos" xfId="1037" xr:uid="{CEDA994E-4197-4D17-9D05-6867E486799B}"/>
    <cellStyle name="DQR Row 1 - IBM Cognos" xfId="1038" xr:uid="{A91A964A-4B18-417C-979C-D157E28A504C}"/>
    <cellStyle name="DQR Row 2 - IBM Cognos" xfId="1039" xr:uid="{68185890-DAFC-4F8E-9D33-170F356D5CD5}"/>
    <cellStyle name="DQR Row 3 - IBM Cognos" xfId="1040" xr:uid="{262F55CB-A021-411B-B896-891A17838F7B}"/>
    <cellStyle name="DQR Row 4 - IBM Cognos" xfId="1041" xr:uid="{A997525D-2D64-4E82-9DCA-C48A6C3DFE67}"/>
    <cellStyle name="DQR Row 5 - IBM Cognos" xfId="1042" xr:uid="{CDDFDE8E-7C15-4AEC-834C-5A3116E175C2}"/>
    <cellStyle name="DQR Row Default - IBM Cognos" xfId="1043" xr:uid="{ED81135E-DF0F-4D65-815A-1F66C3A4952F}"/>
    <cellStyle name="DQR Row Leaf - IBM Cognos" xfId="1044" xr:uid="{EB405390-AC55-4FDA-8134-3E3B82575865}"/>
    <cellStyle name="Dziesiętny" xfId="1" builtinId="3"/>
    <cellStyle name="Dziesiętny 10" xfId="751" xr:uid="{01E85482-805B-4AE0-B6C8-22368DC54050}"/>
    <cellStyle name="Dziesiętny 11" xfId="752" xr:uid="{5D19FE6F-55DF-4146-976F-9AD506261574}"/>
    <cellStyle name="Dziesiętny 12" xfId="750" xr:uid="{51428E01-58F4-47BB-BC94-8115FCBDBB9B}"/>
    <cellStyle name="Dziesiętny 13" xfId="5" xr:uid="{09ED0F9C-1AB7-4B6B-ACE4-D84D926EBAD0}"/>
    <cellStyle name="Dziesiętny 2" xfId="753" xr:uid="{5F7DACFC-4587-4C10-9467-A7D1597FDCE3}"/>
    <cellStyle name="Dziesiętny 2 10" xfId="754" xr:uid="{55E4008B-B337-4FBE-BA21-163EDD0336CA}"/>
    <cellStyle name="Dziesiętny 2 2" xfId="755" xr:uid="{EFA2ECA9-FFF2-4B85-BD31-5ADA9A42546A}"/>
    <cellStyle name="Dziesiętny 2 3" xfId="756" xr:uid="{5AF3EB6A-19FF-4FB4-B6A0-24CDB5999759}"/>
    <cellStyle name="Dziesiętny 2 4" xfId="757" xr:uid="{3F4D0AA3-88CE-4B14-ADD5-F8B51C9E764E}"/>
    <cellStyle name="Dziesiętny 2 47" xfId="992" xr:uid="{178D3A65-1081-426B-AD59-8DCCD95F694D}"/>
    <cellStyle name="Dziesiętny 2 5" xfId="758" xr:uid="{25C54E88-6F26-4E1C-8E57-823611EA6D66}"/>
    <cellStyle name="Dziesiętny 2 6" xfId="759" xr:uid="{B0D5E075-638E-4520-BA16-C8F3777BBDF0}"/>
    <cellStyle name="Dziesiętny 2 7" xfId="760" xr:uid="{1F6C85BB-D9E0-4E44-A51B-57DC79808497}"/>
    <cellStyle name="Dziesiętny 2 8" xfId="761" xr:uid="{349D01AC-752F-4F05-AEAD-7F57714672A8}"/>
    <cellStyle name="Dziesiętny 2 9" xfId="762" xr:uid="{D70DEF18-6B63-43E4-B4E5-5D5A20CF43D0}"/>
    <cellStyle name="Dziesiętny 3" xfId="763" xr:uid="{69D67259-6EBF-402C-865A-40602FE54244}"/>
    <cellStyle name="Dziesiętny 4" xfId="764" xr:uid="{582DA0F1-449E-4B97-A600-A46A2E643D56}"/>
    <cellStyle name="Dziesiętny 5" xfId="765" xr:uid="{B978604F-7699-4C3C-ADEE-1DCE05565E50}"/>
    <cellStyle name="Dziesiętny 6" xfId="766" xr:uid="{B9821C5B-3A3D-4B7B-A3ED-AFDC427BC97D}"/>
    <cellStyle name="Dziesiętny 7" xfId="767" xr:uid="{8AD2333B-F3B4-4BF4-A833-94D3FE8106B9}"/>
    <cellStyle name="Dziesiętny 8" xfId="768" xr:uid="{9787EA07-2DD6-4D64-895A-17114832280C}"/>
    <cellStyle name="Dziesiętny 9" xfId="769" xr:uid="{91E8DB9E-BA3C-4CC0-8A02-E31482B7B132}"/>
    <cellStyle name="E&amp;Y House" xfId="770" xr:uid="{F96DA869-0EC8-4034-B873-7E72F07EC0B2}"/>
    <cellStyle name="Edit - IBM Cognos" xfId="1045" xr:uid="{B3E35862-6DEA-4E79-B603-729A34494B74}"/>
    <cellStyle name="Euro" xfId="771" xr:uid="{DBE8E8F6-4810-456F-98BF-D00789B20DBB}"/>
    <cellStyle name="Euro 10" xfId="772" xr:uid="{575E9E6B-2F1A-4F4F-B43E-7AB7BBBE1164}"/>
    <cellStyle name="Euro 2" xfId="773" xr:uid="{9B179470-D7C3-4BD6-9D6A-DBF6F4F54903}"/>
    <cellStyle name="Euro 3" xfId="774" xr:uid="{3F4BA0A9-9E98-4566-9067-86A5A2F8D740}"/>
    <cellStyle name="Euro 4" xfId="775" xr:uid="{E5D970BF-216F-4DF5-BA4C-701525D30DE0}"/>
    <cellStyle name="Euro 5" xfId="776" xr:uid="{8245321A-E737-4715-847B-A5416E84219B}"/>
    <cellStyle name="Euro 6" xfId="777" xr:uid="{D9D738BB-BBD5-4F8B-A94F-C48AB459ACA8}"/>
    <cellStyle name="Euro 7" xfId="778" xr:uid="{003D60E9-6817-4459-AA76-995292A42C1A}"/>
    <cellStyle name="Euro 8" xfId="779" xr:uid="{65CBA26B-678D-4341-8749-EBECBFEA0E21}"/>
    <cellStyle name="Euro 9" xfId="780" xr:uid="{F5E55A8E-EF45-4C43-92BF-37DC0BA46A76}"/>
    <cellStyle name="EY0dp" xfId="781" xr:uid="{8B42B332-1CE5-46D9-AF88-BA6AE36EBC3E}"/>
    <cellStyle name="Formula - IBM Cognos" xfId="1046" xr:uid="{447AF801-36FA-4115-9339-A604AF005386}"/>
    <cellStyle name="Group Name - IBM Cognos" xfId="1047" xr:uid="{DAE4B367-BD24-4AA5-9095-6C73A55BEEC6}"/>
    <cellStyle name="Heading" xfId="782" xr:uid="{BDF04041-1066-41E0-83B4-EE06C2C3C8AD}"/>
    <cellStyle name="Hold Values - IBM Cognos" xfId="1048" xr:uid="{A2E01932-7CC9-4FAA-A70C-F8C71920E718}"/>
    <cellStyle name="Komórka połączona 10" xfId="783" xr:uid="{218280B5-4DF0-472B-B0F4-1073B99D4008}"/>
    <cellStyle name="Komórka połączona 2" xfId="784" xr:uid="{F2C78F32-E80D-48ED-9060-2F683233BA02}"/>
    <cellStyle name="Komórka połączona 3" xfId="785" xr:uid="{245DCADD-1680-4EDF-8E2C-AFAF98117561}"/>
    <cellStyle name="Komórka połączona 4" xfId="786" xr:uid="{BFE74921-0636-4426-9294-960435FC90BA}"/>
    <cellStyle name="Komórka połączona 5" xfId="787" xr:uid="{6F1038D4-CC2C-41B3-AAC5-0CA253D31F8E}"/>
    <cellStyle name="Komórka połączona 6" xfId="788" xr:uid="{B0376DD1-5538-4576-8A3E-C367684E92B3}"/>
    <cellStyle name="Komórka połączona 7" xfId="789" xr:uid="{8B2672D0-91B0-4BD6-9563-5A12BA934C5D}"/>
    <cellStyle name="Komórka połączona 8" xfId="790" xr:uid="{9E0C877F-3C0A-428F-A414-239811804E92}"/>
    <cellStyle name="Komórka połączona 9" xfId="791" xr:uid="{7C5F55A7-DEDE-4911-8FD2-E008AD99B585}"/>
    <cellStyle name="Komórka zaznaczona 10" xfId="792" xr:uid="{AC18AD2A-7AEE-4C14-B85E-0A7CC682A601}"/>
    <cellStyle name="Komórka zaznaczona 2" xfId="793" xr:uid="{41CE99DC-05D7-43DF-A3BF-207BF3390483}"/>
    <cellStyle name="Komórka zaznaczona 3" xfId="794" xr:uid="{95FF4B28-6D20-4310-9D41-626886D99D76}"/>
    <cellStyle name="Komórka zaznaczona 4" xfId="795" xr:uid="{77AF8430-9DA5-45E8-A782-6B27955B7241}"/>
    <cellStyle name="Komórka zaznaczona 5" xfId="796" xr:uid="{1D590E07-7551-48EC-9320-02A65CDC22E7}"/>
    <cellStyle name="Komórka zaznaczona 6" xfId="797" xr:uid="{D2D1ABF0-45B1-4038-BC74-B2CE1DD5F986}"/>
    <cellStyle name="Komórka zaznaczona 7" xfId="798" xr:uid="{F74B9769-0496-4098-924E-2B603788D8BA}"/>
    <cellStyle name="Komórka zaznaczona 8" xfId="799" xr:uid="{792EDF64-41CF-4FEA-A378-913410C6E664}"/>
    <cellStyle name="Komórka zaznaczona 9" xfId="800" xr:uid="{D24C789E-8AA6-4E00-B812-B84B974D9C2F}"/>
    <cellStyle name="List Name - IBM Cognos" xfId="1049" xr:uid="{42178084-99F3-48C2-856D-7FBC546CABFB}"/>
    <cellStyle name="Locked - IBM Cognos" xfId="1050" xr:uid="{899DD0E4-36F5-41DB-8F3C-8DF92CA83A4D}"/>
    <cellStyle name="Measure - IBM Cognos" xfId="1051" xr:uid="{6DABC67E-595E-4DAC-B455-F6A76F62C1A0}"/>
    <cellStyle name="Measure Header - IBM Cognos" xfId="1052" xr:uid="{B18A2C20-87B3-4A67-A974-0A5F3602C39D}"/>
    <cellStyle name="Measure Name - IBM Cognos" xfId="1053" xr:uid="{0C60CA7F-390F-45D3-9AC9-ED0908BB21DE}"/>
    <cellStyle name="Measure Summary - IBM Cognos" xfId="1054" xr:uid="{42BA9930-42C9-4C71-8B19-8CC808E55871}"/>
    <cellStyle name="Measure Summary TM1 - IBM Cognos" xfId="1055" xr:uid="{926FA3C1-DEFC-42BE-AEE8-24685CDCF577}"/>
    <cellStyle name="Measure Template - IBM Cognos" xfId="1056" xr:uid="{99F0C125-52A7-4277-A89E-C73699B442A3}"/>
    <cellStyle name="měny_laroux" xfId="801" xr:uid="{A10E29D4-D915-49D4-90BB-B8928B5CE5F4}"/>
    <cellStyle name="Miglia - Style1" xfId="802" xr:uid="{34DCEEDC-80AC-4E7A-8E16-4E361D86E827}"/>
    <cellStyle name="Migliaia (0)" xfId="803" xr:uid="{472AE04F-40CD-4A4C-BA1D-1716B4EAA0BD}"/>
    <cellStyle name="Migliaia (0) 2" xfId="804" xr:uid="{7CEC4FE4-F1FD-4E6C-9F75-2695BBA59B8D}"/>
    <cellStyle name="Migliaia (0) 3" xfId="805" xr:uid="{855262AE-2DF1-4510-A354-78320353A213}"/>
    <cellStyle name="Migliaia (0) 4" xfId="806" xr:uid="{FC3D8A56-31CB-4FA1-A026-79831489CD17}"/>
    <cellStyle name="Migliaia (0) 5" xfId="807" xr:uid="{5F01D4BD-6228-4BAF-8EBE-0E0B591492FC}"/>
    <cellStyle name="Migliaia (0) 6" xfId="808" xr:uid="{73C271F5-E406-489D-9A5A-023AC43EF0E5}"/>
    <cellStyle name="More - IBM Cognos" xfId="1057" xr:uid="{27B0977E-A951-4231-AD3F-396575C762FF}"/>
    <cellStyle name="Nagłówek 1 10" xfId="810" xr:uid="{166D00D2-D721-4E1E-985B-85A647554568}"/>
    <cellStyle name="Nagłówek 1 11" xfId="809" xr:uid="{63524A9C-5638-4C13-A6AC-10B66CB81DD0}"/>
    <cellStyle name="Nagłówek 1 2" xfId="811" xr:uid="{A53EF9E8-C96E-45E8-A9D6-6A1CA0901DC2}"/>
    <cellStyle name="Nagłówek 1 3" xfId="812" xr:uid="{A8A5A7A5-E404-4E9C-8931-E94697701D14}"/>
    <cellStyle name="Nagłówek 1 4" xfId="813" xr:uid="{9471BA95-B940-4391-83B6-2116A0D78BAB}"/>
    <cellStyle name="Nagłówek 1 5" xfId="814" xr:uid="{843B3614-AF5F-4432-9D2C-A5F7BD825B44}"/>
    <cellStyle name="Nagłówek 1 6" xfId="815" xr:uid="{D70953B2-476D-406C-B848-009BB987F415}"/>
    <cellStyle name="Nagłówek 1 7" xfId="816" xr:uid="{A633351B-49FD-4670-A2A6-7F653AA088BA}"/>
    <cellStyle name="Nagłówek 1 8" xfId="817" xr:uid="{B1088741-0B9D-4F02-BAE3-161A17F382CE}"/>
    <cellStyle name="Nagłówek 1 9" xfId="818" xr:uid="{E498EA8B-E0D0-4700-8133-CCDC51CBD1D1}"/>
    <cellStyle name="Nagłówek 2 10" xfId="820" xr:uid="{2D6150B3-5E47-40FD-B8E1-8169AFD010FD}"/>
    <cellStyle name="Nagłówek 2 11" xfId="819" xr:uid="{E34CA058-D090-4FA5-AE53-8FF3750D44AA}"/>
    <cellStyle name="Nagłówek 2 2" xfId="821" xr:uid="{17AF79DC-842E-491A-9671-25AF38AB25DF}"/>
    <cellStyle name="Nagłówek 2 3" xfId="822" xr:uid="{2FF0EA02-F8DC-4844-8554-21E5783E67E4}"/>
    <cellStyle name="Nagłówek 2 4" xfId="823" xr:uid="{8B8D191F-2FF0-40B2-A002-1BD6A0A3E43F}"/>
    <cellStyle name="Nagłówek 2 5" xfId="824" xr:uid="{6D76C2CC-DC79-436A-BD97-1985601705BD}"/>
    <cellStyle name="Nagłówek 2 6" xfId="825" xr:uid="{2E76BBCB-0671-4307-B3BE-3E5F3D82A3CF}"/>
    <cellStyle name="Nagłówek 2 7" xfId="826" xr:uid="{EC68C647-7A77-48AD-BFC9-3705442A03EB}"/>
    <cellStyle name="Nagłówek 2 8" xfId="827" xr:uid="{174125DA-C295-4496-B50F-264FAF874DE9}"/>
    <cellStyle name="Nagłówek 2 9" xfId="828" xr:uid="{EFAC4EA8-F939-4AEF-937F-E3FF40C4D875}"/>
    <cellStyle name="Nagłówek 3 10" xfId="830" xr:uid="{9370B24C-0C1A-42E2-A561-A842655BA394}"/>
    <cellStyle name="Nagłówek 3 11" xfId="829" xr:uid="{45F0E6D3-9FB5-4C6A-8AA9-3517525F7B8B}"/>
    <cellStyle name="Nagłówek 3 2" xfId="831" xr:uid="{64D12E8D-F3E0-458E-AEDF-A140395EF8E2}"/>
    <cellStyle name="Nagłówek 3 3" xfId="832" xr:uid="{CF6B6F17-F5D9-456C-A38B-83CF2F639800}"/>
    <cellStyle name="Nagłówek 3 4" xfId="833" xr:uid="{A9465BDD-4657-4BAF-A8F8-1DF8BA20D4F8}"/>
    <cellStyle name="Nagłówek 3 5" xfId="834" xr:uid="{34AACE6B-FCE6-471B-8CE1-257D58713BFB}"/>
    <cellStyle name="Nagłówek 3 6" xfId="835" xr:uid="{C5423855-7827-42F7-9BD4-B09990782E74}"/>
    <cellStyle name="Nagłówek 3 7" xfId="836" xr:uid="{23570F91-8666-422D-AD3D-C1D074E52FF5}"/>
    <cellStyle name="Nagłówek 3 8" xfId="837" xr:uid="{5D2824A3-3571-491C-81DC-5B4567BEADC1}"/>
    <cellStyle name="Nagłówek 3 9" xfId="838" xr:uid="{61742605-F3EA-48FF-B068-3B88B39B46CB}"/>
    <cellStyle name="Nagłówek 4 10" xfId="840" xr:uid="{A24BC751-C80C-46AC-8583-7C430942DFCA}"/>
    <cellStyle name="Nagłówek 4 11" xfId="839" xr:uid="{3076D5DB-086B-432D-8A40-7DEFAF72583C}"/>
    <cellStyle name="Nagłówek 4 2" xfId="841" xr:uid="{4A028BE2-98D7-4C0C-AE73-3FF462D03C57}"/>
    <cellStyle name="Nagłówek 4 3" xfId="842" xr:uid="{0870F467-EE7F-445F-9E19-372BD575AE0B}"/>
    <cellStyle name="Nagłówek 4 4" xfId="843" xr:uid="{02C66739-E346-4C12-BBA2-942CCC8DF463}"/>
    <cellStyle name="Nagłówek 4 5" xfId="844" xr:uid="{470C2F99-2C4F-464B-B988-6C4DE5AC2AF0}"/>
    <cellStyle name="Nagłówek 4 6" xfId="845" xr:uid="{4B35C850-1AC0-4CB3-8A83-CB94DBBC7834}"/>
    <cellStyle name="Nagłówek 4 7" xfId="846" xr:uid="{0B61BC88-5250-41F6-AF09-69911E311EE4}"/>
    <cellStyle name="Nagłówek 4 8" xfId="847" xr:uid="{1CF3C664-6237-4729-98F5-93A21013E8A9}"/>
    <cellStyle name="Nagłówek 4 9" xfId="848" xr:uid="{8C8659B0-CA45-46B8-8A64-6F714DCFF6E4}"/>
    <cellStyle name="Neutralne 10" xfId="850" xr:uid="{1A34D497-98A4-4AF4-86CA-77BF868A3FDC}"/>
    <cellStyle name="Neutralne 2" xfId="851" xr:uid="{D2EDA98E-F16A-4E0C-BFEC-86ADDEA81146}"/>
    <cellStyle name="Neutralne 3" xfId="852" xr:uid="{9680176A-20F4-47F8-A9A3-B49693C9EF04}"/>
    <cellStyle name="Neutralne 4" xfId="853" xr:uid="{51146650-F3D8-419B-88DC-51725157B740}"/>
    <cellStyle name="Neutralne 5" xfId="854" xr:uid="{2E17B111-1A06-42E0-A0E3-3BD59676A8D9}"/>
    <cellStyle name="Neutralne 6" xfId="855" xr:uid="{4A2238BE-2D1F-4A70-BD56-18C8C43C990E}"/>
    <cellStyle name="Neutralne 7" xfId="856" xr:uid="{831125C7-1EEB-4CB4-8513-79CB5ABDA198}"/>
    <cellStyle name="Neutralne 8" xfId="857" xr:uid="{D091F076-5004-4D71-8C14-07CFF6545AA4}"/>
    <cellStyle name="Neutralne 9" xfId="858" xr:uid="{E1E82946-29B9-4615-B104-30B871A6ADC5}"/>
    <cellStyle name="Neutralny 2" xfId="849" xr:uid="{CC6BD8AC-57E4-4C3D-BAC0-5690E4CE5497}"/>
    <cellStyle name="normální_laroux" xfId="859" xr:uid="{6B18DA8C-C4DE-4049-9D38-F18836E5CF9F}"/>
    <cellStyle name="Normalny" xfId="0" builtinId="0" customBuiltin="1"/>
    <cellStyle name="Normalny 10" xfId="954" xr:uid="{0537F7D2-476D-4361-A09E-6C429DEF6270}"/>
    <cellStyle name="Normalny 2" xfId="2" xr:uid="{00000000-0005-0000-0000-000004000000}"/>
    <cellStyle name="Normalny 2 2" xfId="10" xr:uid="{A4F916B4-4A5D-4540-A13E-6018BE4525DE}"/>
    <cellStyle name="Normalny 2 3" xfId="860" xr:uid="{98CBAD5B-1950-4600-A473-CFF0F6C74F0B}"/>
    <cellStyle name="Normalny 3" xfId="9" xr:uid="{630F47B7-4028-4685-8581-53E54A57AD40}"/>
    <cellStyle name="Normalny 31" xfId="7" xr:uid="{49A72D9E-6EAF-46B2-B4C6-D1519F88736F}"/>
    <cellStyle name="Normalny 31 2" xfId="6" xr:uid="{A0610D22-6E75-424B-80B9-F18AD65C7F2F}"/>
    <cellStyle name="Normalny 4" xfId="11" xr:uid="{C0DA8846-3FFC-4343-9797-2D72D260EBD1}"/>
    <cellStyle name="Normalny 5" xfId="12" xr:uid="{D5348CF6-710F-411A-8C06-671435E560FE}"/>
    <cellStyle name="Normalny 5 2" xfId="991" xr:uid="{1DFA554C-4B7A-4AF9-B945-07A4C773E478}"/>
    <cellStyle name="Normalny 6" xfId="4" xr:uid="{3ED1D428-CB68-4BF3-A8E4-BA8CBE62EFAC}"/>
    <cellStyle name="Obliczenia 10" xfId="861" xr:uid="{C48B99D7-1443-4D9A-B308-D8F3CFA3A8D9}"/>
    <cellStyle name="Obliczenia 2" xfId="862" xr:uid="{4F8365C6-6C54-4A62-88C4-0943CAF6C898}"/>
    <cellStyle name="Obliczenia 3" xfId="863" xr:uid="{B25990EA-B0DB-406A-98D8-281AA9308A1A}"/>
    <cellStyle name="Obliczenia 4" xfId="864" xr:uid="{44AB7228-D139-4C4B-94AA-0CDB2341CFAE}"/>
    <cellStyle name="Obliczenia 5" xfId="865" xr:uid="{4E693942-C533-48B3-84C2-1AB78DA2794A}"/>
    <cellStyle name="Obliczenia 6" xfId="866" xr:uid="{3DDFE15B-B520-4B06-A683-2318F7E90CA1}"/>
    <cellStyle name="Obliczenia 7" xfId="867" xr:uid="{CB54345C-8147-4835-B1DC-D08EEF42FBB1}"/>
    <cellStyle name="Obliczenia 8" xfId="868" xr:uid="{A9785B44-F690-4949-9EB6-55217CF790C6}"/>
    <cellStyle name="Obliczenia 9" xfId="869" xr:uid="{EDBAF243-675A-4C5E-BCD4-3708C2FC9356}"/>
    <cellStyle name="Pending Change - IBM Cognos" xfId="1058" xr:uid="{0A30FCAD-5421-4A51-A16B-5B855116783D}"/>
    <cellStyle name="Percent (0)" xfId="870" xr:uid="{D98C7294-F4C7-4B34-89E9-CD8324EBBF7A}"/>
    <cellStyle name="Percent (0) 2" xfId="871" xr:uid="{E0B1735F-BE99-4B9C-A1BA-59798F50A0AD}"/>
    <cellStyle name="Percent (0) 3" xfId="872" xr:uid="{3E49FB48-9879-4B2D-84C0-E0BF7EFC5B31}"/>
    <cellStyle name="Percent (0) 4" xfId="873" xr:uid="{4F7C5F13-84AE-4F5B-B346-3FA8FE2D051B}"/>
    <cellStyle name="Percent (0) 5" xfId="874" xr:uid="{8E94AF1A-C5C1-4D63-9A61-D4955377CE96}"/>
    <cellStyle name="Percent (0) 6" xfId="875" xr:uid="{140EA52D-5769-4476-B890-F8F37D8028CE}"/>
    <cellStyle name="Procentowy 10" xfId="877" xr:uid="{B35B494D-07A0-47C6-8FBE-EFDACF85E731}"/>
    <cellStyle name="Procentowy 11" xfId="876" xr:uid="{ECF64330-BD5B-4306-A7D8-5F6524C90B96}"/>
    <cellStyle name="Procentowy 2" xfId="878" xr:uid="{CD558790-256E-4B68-9C79-7E1A53A6A730}"/>
    <cellStyle name="Procentowy 3" xfId="879" xr:uid="{5F191FC7-B9B1-456B-8D50-17868B729FDD}"/>
    <cellStyle name="Procentowy 4" xfId="880" xr:uid="{15494899-A4F8-429F-8789-73DA7A6BB688}"/>
    <cellStyle name="Procentowy 5" xfId="881" xr:uid="{7D9FE60D-DFE6-4FE1-96F0-908B5A114D7A}"/>
    <cellStyle name="Procentowy 6" xfId="882" xr:uid="{48DAF22D-9F3C-4BD7-A0ED-F7D7222C5ED9}"/>
    <cellStyle name="Procentowy 7" xfId="883" xr:uid="{777C536D-3605-4FCE-8105-D6247A83227E}"/>
    <cellStyle name="Procentowy 8" xfId="884" xr:uid="{560F4662-0AA4-4322-9C05-A40E14E54F4D}"/>
    <cellStyle name="Procentowy 9" xfId="885" xr:uid="{A8D21F28-AB19-4B1F-ADA8-CDF86B473055}"/>
    <cellStyle name="Przecinek [0]" xfId="886" xr:uid="{D38D5A4C-6641-49FB-B7A8-B81C3FDED2F5}"/>
    <cellStyle name="Row Name - IBM Cognos" xfId="1059" xr:uid="{9CA4E491-F50C-4D8A-B558-2698AB04499A}"/>
    <cellStyle name="Row Template - IBM Cognos" xfId="1060" xr:uid="{5B24B96B-0B2B-406A-84FB-3DAB5494F38D}"/>
    <cellStyle name="Styl 1" xfId="887" xr:uid="{389633CA-19D3-4BCA-B957-FF759C7DBF4F}"/>
    <cellStyle name="Suma 10" xfId="889" xr:uid="{47FAE130-1D82-4767-9228-2776A8BE8D43}"/>
    <cellStyle name="Suma 11" xfId="888" xr:uid="{BA0A1C4A-1AF2-4943-8673-D8EDA9AF4844}"/>
    <cellStyle name="Suma 2" xfId="890" xr:uid="{A76B6CC3-C45A-496A-B935-653B61AB1D91}"/>
    <cellStyle name="Suma 3" xfId="891" xr:uid="{BFDEA3F0-6B53-4D8A-B9C5-67F4F1A0B923}"/>
    <cellStyle name="Suma 4" xfId="892" xr:uid="{9AC93116-2480-4447-95A6-78E3D1F4DC52}"/>
    <cellStyle name="Suma 5" xfId="893" xr:uid="{A9BF21BD-6F48-48B9-B7DA-727F047712FE}"/>
    <cellStyle name="Suma 6" xfId="894" xr:uid="{34388792-2AB9-4B20-9C62-A2437F5F6E51}"/>
    <cellStyle name="Suma 7" xfId="895" xr:uid="{A0268D97-33D2-443E-B481-ECB8403093BC}"/>
    <cellStyle name="Suma 8" xfId="896" xr:uid="{D7D4B344-5031-4AD2-8AB3-281068CFB192}"/>
    <cellStyle name="Suma 9" xfId="897" xr:uid="{A7562CB9-DA83-4C06-97AE-6CEB63E7764E}"/>
    <cellStyle name="Summary Column Name - IBM Cognos" xfId="1061" xr:uid="{80787371-E685-4B55-ACBE-5CC6DEB9885C}"/>
    <cellStyle name="Summary Column Name TM1 - IBM Cognos" xfId="1062" xr:uid="{C0136A24-1779-4ADF-A4FE-71E385094E4A}"/>
    <cellStyle name="Summary Row Name - IBM Cognos" xfId="1063" xr:uid="{D7282D50-35FD-4E76-B7B8-78A4BFF19E02}"/>
    <cellStyle name="Summary Row Name TM1 - IBM Cognos" xfId="1064" xr:uid="{07CB5543-C9DD-488D-8857-E75A4D10E9FE}"/>
    <cellStyle name="Tekst objaśnienia 10" xfId="898" xr:uid="{1E056AA0-A8AB-4119-A101-162D9FEE5D9E}"/>
    <cellStyle name="Tekst objaśnienia 2" xfId="899" xr:uid="{C5CE34F4-2956-4459-9821-B01EB2B0D8A5}"/>
    <cellStyle name="Tekst objaśnienia 3" xfId="900" xr:uid="{DF3587C5-039A-486B-AEC4-024D5C7C4CC9}"/>
    <cellStyle name="Tekst objaśnienia 4" xfId="901" xr:uid="{9CAA91FC-BFD3-450A-949B-9B4002264582}"/>
    <cellStyle name="Tekst objaśnienia 5" xfId="902" xr:uid="{D7C46050-87EA-4CF7-831C-455E193EAB80}"/>
    <cellStyle name="Tekst objaśnienia 6" xfId="903" xr:uid="{0143522B-1CCF-4A78-A40F-0C86B75897DD}"/>
    <cellStyle name="Tekst objaśnienia 7" xfId="904" xr:uid="{F8C1D9BE-7144-4EF9-98F9-F5C661A584C0}"/>
    <cellStyle name="Tekst objaśnienia 8" xfId="905" xr:uid="{22EDEFC5-390E-48D2-AFF3-CC60F324E233}"/>
    <cellStyle name="Tekst objaśnienia 9" xfId="906" xr:uid="{FEB98F3F-583E-4BE2-AA3C-CB28780F2A58}"/>
    <cellStyle name="Tekst ostrzeżenia 10" xfId="907" xr:uid="{986D0BC9-5BE6-4820-8FFB-17ABD0FE03AF}"/>
    <cellStyle name="Tekst ostrzeżenia 2" xfId="908" xr:uid="{7DD3CE70-4BCF-4A82-8F7B-F86A00FA04E7}"/>
    <cellStyle name="Tekst ostrzeżenia 3" xfId="909" xr:uid="{ACA0C95E-E2BC-49ED-AAEE-451B52B63327}"/>
    <cellStyle name="Tekst ostrzeżenia 4" xfId="910" xr:uid="{C8C00B84-669C-4006-8771-23EBD2CF186A}"/>
    <cellStyle name="Tekst ostrzeżenia 5" xfId="911" xr:uid="{E6596F84-CB22-4579-8617-FC070E663436}"/>
    <cellStyle name="Tekst ostrzeżenia 6" xfId="912" xr:uid="{58D8E227-EB58-441C-82B5-9BD4F83D1C63}"/>
    <cellStyle name="Tekst ostrzeżenia 7" xfId="913" xr:uid="{4780F93A-717D-491D-AF94-6976402432D0}"/>
    <cellStyle name="Tekst ostrzeżenia 8" xfId="914" xr:uid="{8E959929-385D-4A16-BFAC-88D4069B2C80}"/>
    <cellStyle name="Tekst ostrzeżenia 9" xfId="915" xr:uid="{BA9E42B3-01EE-4708-B134-1DB34C45ED5E}"/>
    <cellStyle name="Tickmark" xfId="916" xr:uid="{96B27B6D-122A-4871-BD3A-131194FFBFD7}"/>
    <cellStyle name="Tytuł 10" xfId="918" xr:uid="{80343E9B-398D-452F-8709-8BBF8F20B035}"/>
    <cellStyle name="Tytuł 11" xfId="917" xr:uid="{D1F9EE63-CB63-4180-BE24-A14489CFDDB1}"/>
    <cellStyle name="Tytuł 2" xfId="919" xr:uid="{EFDB33E1-C0EA-42B3-B3EB-D55548FADB0C}"/>
    <cellStyle name="Tytuł 3" xfId="920" xr:uid="{329524F3-AC0F-4256-8D08-3453E1D1C8B9}"/>
    <cellStyle name="Tytuł 4" xfId="921" xr:uid="{918FA7E0-67DC-4C20-AF9C-9616FAF1EA72}"/>
    <cellStyle name="Tytuł 5" xfId="922" xr:uid="{DB92B5DF-1A74-439B-8F5F-23C44CF1FB8E}"/>
    <cellStyle name="Tytuł 6" xfId="923" xr:uid="{4620EE9B-EE04-49A7-ABBE-F529ED27F3D3}"/>
    <cellStyle name="Tytuł 7" xfId="924" xr:uid="{8092603E-FB88-4B1F-A03D-3B84D912CD03}"/>
    <cellStyle name="Tytuł 8" xfId="925" xr:uid="{3188360D-826B-4D57-8DDB-21EF81D28AC7}"/>
    <cellStyle name="Tytuł 9" xfId="926" xr:uid="{EDDCEB7E-5793-45D5-9233-A48E04481EC0}"/>
    <cellStyle name="Unsaved Change - IBM Cognos" xfId="1065" xr:uid="{4FA01B65-75A2-4470-907C-CDE5D198FA6A}"/>
    <cellStyle name="Uwaga 10" xfId="927" xr:uid="{AD218DE3-5E7F-4CCF-8D39-0CF1CC158CEB}"/>
    <cellStyle name="Uwaga 2" xfId="928" xr:uid="{A97B780D-69FF-46D3-AD40-DB9D42EC65A8}"/>
    <cellStyle name="Uwaga 3" xfId="929" xr:uid="{C018A85A-EE2E-4B84-B9FF-7D4758E3481C}"/>
    <cellStyle name="Uwaga 4" xfId="930" xr:uid="{AFFDC9DE-12A0-4FB0-94A3-687E284AC979}"/>
    <cellStyle name="Uwaga 5" xfId="931" xr:uid="{68BAA4C2-8B11-4A8B-8A33-DE1C962F7DD8}"/>
    <cellStyle name="Uwaga 6" xfId="932" xr:uid="{7504567A-F2B4-40A5-9655-A0FBFE8A1278}"/>
    <cellStyle name="Uwaga 7" xfId="933" xr:uid="{0D2782F3-6C84-4A22-92BA-475D634EB796}"/>
    <cellStyle name="Uwaga 8" xfId="934" xr:uid="{4C505FB8-A181-4D18-AC9E-BBE358313928}"/>
    <cellStyle name="Uwaga 9" xfId="935" xr:uid="{E7364760-7544-4967-9716-6BD296F9E042}"/>
    <cellStyle name="Valuta - Style2" xfId="936" xr:uid="{3C5DE7C9-186F-4BDB-A6DA-C8CE2C8ADADB}"/>
    <cellStyle name="Valuta (0)" xfId="937" xr:uid="{10D6ADF2-443C-4167-A1CF-FBB15295F471}"/>
    <cellStyle name="Valuta (0) 2" xfId="938" xr:uid="{B50EB197-DA8C-41E1-AE7C-353DA7583BD8}"/>
    <cellStyle name="Valuta (0) 3" xfId="939" xr:uid="{4FFD6FD1-C8D1-4610-81BE-CF3C0789DBAA}"/>
    <cellStyle name="Valuta (0) 4" xfId="940" xr:uid="{290DAE56-7969-4937-9184-5B1FEDD67683}"/>
    <cellStyle name="Valuta (0) 5" xfId="941" xr:uid="{CFD21EFB-EBBE-4DB9-BD77-CE3376EE5456}"/>
    <cellStyle name="Valuta (0) 6" xfId="942" xr:uid="{12A51584-A355-4A36-8010-1280E6C02C2A}"/>
    <cellStyle name="Waluty [0]" xfId="943" xr:uid="{C55C7FE2-2767-4476-98D4-600FFF0C07DC}"/>
    <cellStyle name="Złe 10" xfId="945" xr:uid="{E5731315-052A-4E43-B1CF-08ADD452C1DF}"/>
    <cellStyle name="Złe 2" xfId="946" xr:uid="{EF4CFDDA-17C8-4AFE-BD40-048318BF45A9}"/>
    <cellStyle name="Złe 3" xfId="947" xr:uid="{39BD1AA8-3475-423D-B19F-4A48E1033B05}"/>
    <cellStyle name="Złe 4" xfId="948" xr:uid="{E4E2AC28-523F-4B76-A560-5C73B843776D}"/>
    <cellStyle name="Złe 5" xfId="949" xr:uid="{BDC9DA77-350D-4AD1-80BA-6633DE26C946}"/>
    <cellStyle name="Złe 6" xfId="950" xr:uid="{F613A79B-588C-4340-AC38-2130A3356213}"/>
    <cellStyle name="Złe 7" xfId="951" xr:uid="{72A6A35F-9684-4D1C-BF61-98C88BA6774C}"/>
    <cellStyle name="Złe 8" xfId="952" xr:uid="{9B762D82-A6D6-47CE-A60F-C2235C1E86C3}"/>
    <cellStyle name="Złe 9" xfId="953" xr:uid="{416EFFFC-AD11-4F4E-9CD8-8FF00065AA89}"/>
    <cellStyle name="Zły 2" xfId="944" xr:uid="{1DC25A4B-A9C8-4075-B146-40578EDBD131}"/>
  </cellStyles>
  <dxfs count="0"/>
  <tableStyles count="0" defaultTableStyle="TableStyleMedium2" defaultPivotStyle="PivotStyleLight16"/>
  <colors>
    <mruColors>
      <color rgb="FF949494"/>
      <color rgb="FFFEF2EC"/>
      <color rgb="FFFF66CC"/>
      <color rgb="FFE2007A"/>
      <color rgb="FFF74B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customXml" Target="../customXml/item2.xml"/><Relationship Id="rId21" Type="http://schemas.openxmlformats.org/officeDocument/2006/relationships/externalLink" Target="externalLinks/externalLink8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externalLink" Target="externalLinks/externalLink16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.tauronet.tauron.pl/15.20%20&#346;R&#211;DROCZNE%20MSSF%202016/2016%20-%20Q%20III/Sprawozdanie/MSSF_2016_QIII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09/10_Grupa/01_MSSF_Grupa/20241126/3%20Segmenty%20operacyjne.xlsx" TargetMode="External"/><Relationship Id="rId2" Type="http://schemas.openxmlformats.org/officeDocument/2006/relationships/externalLinkPath" Target="https://tauron.sharepoint.com/sites/PCUWR-FCO/Shared%20Documents/01_Grupa/200_Sprawozdawczosc/2024/09/10_Grupa/01_MSSF_Grupa/20241126/3%20Segmenty%20operacyjne.xlsx" TargetMode="External"/><Relationship Id="rId1" Type="http://schemas.openxmlformats.org/officeDocument/2006/relationships/externalLinkPath" Target="/sites/PCUWR-FCO/Shared%20Documents/01_Grupa/200_Sprawozdawczosc/2024/09/10_Grupa/01_MSSF_Grupa/20241126/3%20Segmenty%20operacyjne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03/10_Grupa/01_MSSF_Grupa/20240517/3%20Segmenty%20operacyjne.xlsx" TargetMode="External"/><Relationship Id="rId2" Type="http://schemas.openxmlformats.org/officeDocument/2006/relationships/externalLinkPath" Target="https://tauron.sharepoint.com/sites/PCUWR-FCO/Shared%20Documents/01_Grupa/200_Sprawozdawczosc/2024/03/10_Grupa/01_MSSF_Grupa/20240517/3%20Segmenty%20operacyjne.xlsx" TargetMode="External"/><Relationship Id="rId1" Type="http://schemas.openxmlformats.org/officeDocument/2006/relationships/externalLinkPath" Target="/sites/PCUWR-FCO/Shared%20Documents/01_Grupa/200_Sprawozdawczosc/2024/03/10_Grupa/01_MSSF_Grupa/20240517/3%20Segmenty%20operacyjne.xlsx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3/12/10_Grupa/01_MSSF_Grupa/20240404/3%20Segmenty%20operacyjne.xlsx" TargetMode="External"/><Relationship Id="rId2" Type="http://schemas.openxmlformats.org/officeDocument/2006/relationships/externalLinkPath" Target="https://tauron.sharepoint.com/sites/PCUWR-FCO/Shared%20Documents/01_Grupa/200_Sprawozdawczosc/2023/12/10_Grupa/01_MSSF_Grupa/20240404/3%20Segmenty%20operacyjne.xlsx" TargetMode="External"/><Relationship Id="rId1" Type="http://schemas.openxmlformats.org/officeDocument/2006/relationships/externalLinkPath" Target="/sites/PCUWR-FCO/Shared%20Documents/01_Grupa/200_Sprawozdawczosc/2023/12/10_Grupa/01_MSSF_Grupa/20240404/3%20Segmenty%20operacyjne.xlsx" TargetMode="External"/></Relationships>
</file>

<file path=xl/externalLinks/_rels/externalLink1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3/09/10_Grupa/01_MSSF_Grupa/20231116/3%20Segmenty%20operacyjne_V51.xlsx" TargetMode="External"/><Relationship Id="rId2" Type="http://schemas.openxmlformats.org/officeDocument/2006/relationships/externalLinkPath" Target="https://tauron.sharepoint.com/sites/PCUWR-FCO/Shared%20Documents/01_Grupa/200_Sprawozdawczosc/2023/09/10_Grupa/01_MSSF_Grupa/20231116/3%20Segmenty%20operacyjne_V51.xlsx" TargetMode="External"/><Relationship Id="rId1" Type="http://schemas.openxmlformats.org/officeDocument/2006/relationships/externalLinkPath" Target="/sites/PCUWR-FCO/Shared%20Documents/01_Grupa/200_Sprawozdawczosc/2023/09/10_Grupa/01_MSSF_Grupa/20231116/3%20Segmenty%20operacyjne_V51.xlsx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3/06/10_Grupa/01_MSSF_Grupa/20230824/3%20Segmenty%20operacyjne_V73.xlsx" TargetMode="External"/><Relationship Id="rId2" Type="http://schemas.openxmlformats.org/officeDocument/2006/relationships/externalLinkPath" Target="https://tauron.sharepoint.com/sites/PCUWR-FCO/Shared%20Documents/01_Grupa/200_Sprawozdawczosc/2023/06/10_Grupa/01_MSSF_Grupa/20230824/3%20Segmenty%20operacyjne_V73.xlsx" TargetMode="External"/><Relationship Id="rId1" Type="http://schemas.openxmlformats.org/officeDocument/2006/relationships/externalLinkPath" Target="/sites/PCUWR-FCO/Shared%20Documents/01_Grupa/200_Sprawozdawczosc/2023/06/10_Grupa/01_MSSF_Grupa/20230824/3%20Segmenty%20operacyjne_V73.xlsx" TargetMode="External"/></Relationships>
</file>

<file path=xl/externalLinks/_rels/externalLink1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3/03/10_Grupa/01_MSSF_Grupa/20230516/3%20Segmenty%20operacyjne_V53.xlsx" TargetMode="External"/><Relationship Id="rId2" Type="http://schemas.openxmlformats.org/officeDocument/2006/relationships/externalLinkPath" Target="https://tauron.sharepoint.com/sites/PCUWR-FCO/Shared%20Documents/01_Grupa/200_Sprawozdawczosc/2023/03/10_Grupa/01_MSSF_Grupa/20230516/3%20Segmenty%20operacyjne_V53.xlsx" TargetMode="External"/><Relationship Id="rId1" Type="http://schemas.openxmlformats.org/officeDocument/2006/relationships/externalLinkPath" Target="/sites/PCUWR-FCO/Shared%20Documents/01_Grupa/200_Sprawozdawczosc/2023/03/10_Grupa/01_MSSF_Grupa/20230516/3%20Segmenty%20operacyjne_V53.xlsx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12/20_Sprawozdanie_Zarz&#261;du/Raport_Excel/Raport_2025.xlsx" TargetMode="External"/><Relationship Id="rId2" Type="http://schemas.openxmlformats.org/officeDocument/2006/relationships/externalLinkPath" Target="https://tauron.sharepoint.com/sites/PCUWR-FCO/Shared%20Documents/01_Grupa/200_Sprawozdawczosc/2025/12/20_Sprawozdanie_Zarz&#261;du/Raport_Excel/Raport_2025.xlsx" TargetMode="External"/><Relationship Id="rId1" Type="http://schemas.openxmlformats.org/officeDocument/2006/relationships/externalLinkPath" Target="/sites/PCUWR-FCO/Shared%20Documents/01_Grupa/200_Sprawozdawczosc/2025/12/20_Sprawozdanie_Zarz&#261;du/Raport_Excel/Raport_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06/10_Grupa/01_MSSF_Grupa/20240828/3%20Segmenty%20operacyjne.xlsx" TargetMode="External"/><Relationship Id="rId2" Type="http://schemas.openxmlformats.org/officeDocument/2006/relationships/externalLinkPath" Target="https://tauron.sharepoint.com/sites/PCUWR-FCO/Shared%20Documents/01_Grupa/200_Sprawozdawczosc/2024/06/10_Grupa/01_MSSF_Grupa/20240828/3%20Segmenty%20operacyjne.xlsx" TargetMode="External"/><Relationship Id="rId1" Type="http://schemas.openxmlformats.org/officeDocument/2006/relationships/externalLinkPath" Target="/sites/PCUWR-FCO/Shared%20Documents/01_Grupa/200_Sprawozdawczosc/2024/06/10_Grupa/01_MSSF_Grupa/20240828/3%20Segmenty%20operacyjne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kozielski\AppData\Local\Microsoft\Windows\INetCache\Content.Outlook\O1TP061V\Tauron_spreadsheet_%202024%20v2.xlsx" TargetMode="External"/><Relationship Id="rId1" Type="http://schemas.openxmlformats.org/officeDocument/2006/relationships/externalLinkPath" Target="file:///C:\Users\akozielski\AppData\Local\Microsoft\Windows\INetCache\Content.Outlook\O1TP061V\Tauron_spreadsheet_%202024%20v2.xlsx" TargetMode="External"/></Relationships>
</file>

<file path=xl/externalLinks/_rels/externalLink1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09/10_Grupa/01_MSSF_Grupa/20251104/3%20Segmenty%20operacyjne_9.xlsx" TargetMode="External"/><Relationship Id="rId2" Type="http://schemas.openxmlformats.org/officeDocument/2006/relationships/externalLinkPath" Target="https://tauron.sharepoint.com/sites/PCUWR-FCO/Shared%20Documents/01_Grupa/200_Sprawozdawczosc/2025/09/10_Grupa/01_MSSF_Grupa/20251104/3%20Segmenty%20operacyjne_9.xlsx" TargetMode="External"/><Relationship Id="rId1" Type="http://schemas.openxmlformats.org/officeDocument/2006/relationships/externalLinkPath" Target="/sites/PCUWR-FCO/Shared%20Documents/01_Grupa/200_Sprawozdawczosc/2025/09/10_Grupa/01_MSSF_Grupa/20251104/3%20Segmenty%20operacyjne_9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2/12/42_Spreadsheet/excel%20SAP%20DM/aktualne/SKONSOLIDOWANE%20SPRAWOZDANIE%20Z%20SYTUACJI%20FINANSOWEJ_V104.xlsx" TargetMode="External"/><Relationship Id="rId2" Type="http://schemas.openxmlformats.org/officeDocument/2006/relationships/externalLinkPath" Target="file:///K:\15.39%20KONSOLIDACJA%20MSSF%202022\sprawozdanie\excel%20SAP%20DM\aktualne\SKONSOLIDOWANE%20SPRAWOZDANIE%20Z%20SYTUACJI%20FINANSOWEJ_V104.xlsx" TargetMode="External"/><Relationship Id="rId1" Type="http://schemas.openxmlformats.org/officeDocument/2006/relationships/externalLinkPath" Target="/sites/PCUWR-FCO/Shared%20Documents/01_Grupa/200_Sprawozdawczosc/2022/12/42_Spreadsheet/excel%20SAP%20DM/aktualne/SKONSOLIDOWANE%20SPRAWOZDANIE%20Z%20SYTUACJI%20FINANSOWEJ_V104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10_Grupa/01_MSSF_Grupa/20260821/3%20Segmenty%20operacyjne.xlsx" TargetMode="External"/><Relationship Id="rId2" Type="http://schemas.openxmlformats.org/officeDocument/2006/relationships/externalLinkPath" Target="https://tauron.sharepoint.com/sites/PCUWR-FCO/Shared%20Documents/01_Grupa/200_Sprawozdawczosc/2026/06/10_Grupa/01_MSSF_Grupa/20260821/3%20Segmenty%20operacyjne.xlsx" TargetMode="External"/><Relationship Id="rId1" Type="http://schemas.openxmlformats.org/officeDocument/2006/relationships/externalLinkPath" Target="/sites/PCUWR-FCO/Shared%20Documents/01_Grupa/200_Sprawozdawczosc/2026/06/10_Grupa/01_MSSF_Grupa/20260821/3%20Segmenty%20operacyjne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3/10_Grupa/01_MSSF_Grupa/20260513/3%20Segmenty%20operacyjne.xlsx" TargetMode="External"/><Relationship Id="rId2" Type="http://schemas.openxmlformats.org/officeDocument/2006/relationships/externalLinkPath" Target="https://tauron.sharepoint.com/sites/PCUWR-FCO/Shared%20Documents/01_Grupa/200_Sprawozdawczosc/2026/03/10_Grupa/01_MSSF_Grupa/20260513/3%20Segmenty%20operacyjne.xlsx" TargetMode="External"/><Relationship Id="rId1" Type="http://schemas.openxmlformats.org/officeDocument/2006/relationships/externalLinkPath" Target="/sites/PCUWR-FCO/Shared%20Documents/01_Grupa/200_Sprawozdawczosc/2026/03/10_Grupa/01_MSSF_Grupa/20260513/3%20Segmenty%20operacyjne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12/10_Grupa/01_MSSF_Grupa/20260317/3%20Segmenty%20operacyjne.xlsx" TargetMode="External"/><Relationship Id="rId2" Type="http://schemas.openxmlformats.org/officeDocument/2006/relationships/externalLinkPath" Target="https://tauron.sharepoint.com/sites/PCUWR-FCO/Shared%20Documents/01_Grupa/200_Sprawozdawczosc/2025/12/10_Grupa/01_MSSF_Grupa/20260317/3%20Segmenty%20operacyjne.xlsx" TargetMode="External"/><Relationship Id="rId1" Type="http://schemas.openxmlformats.org/officeDocument/2006/relationships/externalLinkPath" Target="/sites/PCUWR-FCO/Shared%20Documents/01_Grupa/200_Sprawozdawczosc/2025/12/10_Grupa/01_MSSF_Grupa/20260317/3%20Segmenty%20operacyjne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09/10_Grupa/01_MSSF_Grupa/20251104/3%20Segmenty%20operacyjne.xlsx" TargetMode="External"/><Relationship Id="rId2" Type="http://schemas.openxmlformats.org/officeDocument/2006/relationships/externalLinkPath" Target="https://tauron.sharepoint.com/sites/PCUWR-FCO/Shared%20Documents/01_Grupa/200_Sprawozdawczosc/2025/09/10_Grupa/01_MSSF_Grupa/20251104/3%20Segmenty%20operacyjne.xlsx" TargetMode="External"/><Relationship Id="rId1" Type="http://schemas.openxmlformats.org/officeDocument/2006/relationships/externalLinkPath" Target="/sites/PCUWR-FCO/Shared%20Documents/01_Grupa/200_Sprawozdawczosc/2025/09/10_Grupa/01_MSSF_Grupa/20251104/3%20Segmenty%20operacyjne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06/10_Grupa/01_MSSF_Grupa/20250910/3%20Segmenty%20operacyjne_V50.xlsx" TargetMode="External"/><Relationship Id="rId2" Type="http://schemas.openxmlformats.org/officeDocument/2006/relationships/externalLinkPath" Target="https://tauron.sharepoint.com/sites/PCUWR-FCO/Shared%20Documents/01_Grupa/200_Sprawozdawczosc/2025/06/10_Grupa/01_MSSF_Grupa/20250910/3%20Segmenty%20operacyjne_V50.xlsx" TargetMode="External"/><Relationship Id="rId1" Type="http://schemas.openxmlformats.org/officeDocument/2006/relationships/externalLinkPath" Target="/sites/PCUWR-FCO/Shared%20Documents/01_Grupa/200_Sprawozdawczosc/2025/06/10_Grupa/01_MSSF_Grupa/20250910/3%20Segmenty%20operacyjne_V50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03/10_Grupa/01_MSSF_Grupa/20250509/3%20Segmenty%20operacyjne.xlsx" TargetMode="External"/><Relationship Id="rId2" Type="http://schemas.openxmlformats.org/officeDocument/2006/relationships/externalLinkPath" Target="https://tauron.sharepoint.com/sites/PCUWR-FCO/Shared%20Documents/01_Grupa/200_Sprawozdawczosc/2025/03/10_Grupa/01_MSSF_Grupa/20250509/3%20Segmenty%20operacyjne.xlsx" TargetMode="External"/><Relationship Id="rId1" Type="http://schemas.openxmlformats.org/officeDocument/2006/relationships/externalLinkPath" Target="/sites/PCUWR-FCO/Shared%20Documents/01_Grupa/200_Sprawozdawczosc/2025/03/10_Grupa/01_MSSF_Grupa/20250509/3%20Segmenty%20operacyjne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12/10_Grupa/01_MSSF_Grupa/20250403/3%20Segmenty%20operacyjne.xlsx" TargetMode="External"/><Relationship Id="rId2" Type="http://schemas.openxmlformats.org/officeDocument/2006/relationships/externalLinkPath" Target="https://tauron.sharepoint.com/sites/PCUWR-FCO/Shared%20Documents/01_Grupa/200_Sprawozdawczosc/2024/12/10_Grupa/01_MSSF_Grupa/20250403/3%20Segmenty%20operacyjne.xlsx" TargetMode="External"/><Relationship Id="rId1" Type="http://schemas.openxmlformats.org/officeDocument/2006/relationships/externalLinkPath" Target="/sites/PCUWR-FCO/Shared%20Documents/01_Grupa/200_Sprawozdawczosc/2024/12/10_Grupa/01_MSSF_Grupa/20250403/3%20Segmenty%20operacyj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usz1"/>
      <sheetName val="RZS3"/>
      <sheetName val="RZS3 FIN"/>
      <sheetName val="BZ1"/>
      <sheetName val="KAP"/>
      <sheetName val="CF2"/>
      <sheetName val="Skład Grupy bezp i pośr"/>
      <sheetName val="szacunki i osądy"/>
      <sheetName val="aktuariusz_zał"/>
      <sheetName val="nowe standardy"/>
      <sheetName val="nowe standardy ANGIELSKA WERSJA"/>
      <sheetName val="zmiana porównywalności SSzCD"/>
      <sheetName val="zmiana porównywalności SSzSF"/>
      <sheetName val="Segmenty"/>
      <sheetName val="1_1 "/>
      <sheetName val="1_1  trzy m-ce"/>
      <sheetName val="1_3_1"/>
      <sheetName val="2_5"/>
      <sheetName val="2_3"/>
      <sheetName val="2_4"/>
      <sheetName val="2_34"/>
      <sheetName val="4_1"/>
      <sheetName val="3_2"/>
      <sheetName val="8_1 "/>
      <sheetName val="8_1 zakupy"/>
      <sheetName val="Wartość firmy"/>
      <sheetName val="11_1"/>
      <sheetName val="11_1 PM długoterm"/>
      <sheetName val="pożyczki ECSW"/>
      <sheetName val="JV"/>
      <sheetName val="poz. akt. fin."/>
      <sheetName val="21_1, 21_2 poz. akt. niefin"/>
      <sheetName val="należności z tytułu podatków"/>
      <sheetName val="11_9_11_10"/>
      <sheetName val="18"/>
      <sheetName val="19_1"/>
      <sheetName val="20"/>
      <sheetName val="akcjonariat"/>
      <sheetName val="IRS"/>
      <sheetName val="zysk na akcję"/>
      <sheetName val="kredyty i obl razem"/>
      <sheetName val="kredyty pożyczki"/>
      <sheetName val="kredyty i pożyczki"/>
      <sheetName val="ruchy kredytów i pożyczek"/>
      <sheetName val="kr i poż główne pozycje"/>
      <sheetName val="obligacje"/>
      <sheetName val="ruchy obligacji"/>
      <sheetName val="pochodne"/>
      <sheetName val="IP met. wyceny"/>
      <sheetName val="rezerwy prac. razem"/>
      <sheetName val="22_1,22_2"/>
      <sheetName val="22_4"/>
      <sheetName val="23 rez likwid śr trw i rekultyw"/>
      <sheetName val="23 rez n zob z t św poch energ"/>
      <sheetName val="23 pozostałe rezerwy"/>
      <sheetName val="21_3,21_4 RMK. RMP"/>
      <sheetName val="24_1,24_2 poz. zob."/>
      <sheetName val="24_1,24_2 poz. zob. podatkowe "/>
      <sheetName val="Zob. inwestycyjne"/>
      <sheetName val="zob. warunkowe "/>
      <sheetName val="zob. war. podatki"/>
      <sheetName val="16_6_1 zab. spłaty zob."/>
      <sheetName val="zab.spłaty zob. 2 (2)"/>
      <sheetName val="transakcje JV"/>
      <sheetName val="SSP"/>
      <sheetName val="25"/>
      <sheetName val="instr. finansowe"/>
      <sheetName val="hierarchia wartości godziwej"/>
      <sheetName val="cash flow"/>
      <sheetName val="NBGT"/>
      <sheetName val="testy RAT CGU"/>
      <sheetName val="testy wrażliwość"/>
      <sheetName val="testy RAT CGU 2"/>
      <sheetName val="testy WF założenia"/>
    </sheetNames>
    <sheetDataSet>
      <sheetData sheetId="0">
        <row r="20">
          <cell r="B20" t="str">
            <v>Okres 9 miesięcy zakończony 
30 września 2016</v>
          </cell>
          <cell r="D20" t="str">
            <v>9-month period ended 
30 September 2016</v>
          </cell>
        </row>
        <row r="21">
          <cell r="B21" t="str">
            <v>Okres 9 miesięcy zakończony  
30 września 2015</v>
          </cell>
          <cell r="D21" t="str">
            <v>9-month period ended 
30 September 2015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segmenty 3 m-ce PREZ"/>
      <sheetName val="segmenty 3 m-ce"/>
      <sheetName val="1_1"/>
      <sheetName val="18"/>
      <sheetName val="Nakłady inwesycyjne TW"/>
      <sheetName val="przekształcenie Veolia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Nakłady inwestycyjne TWD 2Q2022"/>
      <sheetName val="BD10"/>
      <sheetName val="BD11"/>
    </sheetNames>
    <sheetDataSet>
      <sheetData sheetId="0" refreshError="1"/>
      <sheetData sheetId="1" refreshError="1"/>
      <sheetData sheetId="2" refreshError="1"/>
      <sheetData sheetId="3" refreshError="1">
        <row r="35">
          <cell r="B35">
            <v>70</v>
          </cell>
          <cell r="C35">
            <v>92</v>
          </cell>
          <cell r="D35">
            <v>1141</v>
          </cell>
          <cell r="E35">
            <v>2164</v>
          </cell>
          <cell r="F35">
            <v>47</v>
          </cell>
          <cell r="G35">
            <v>135</v>
          </cell>
        </row>
        <row r="71">
          <cell r="B71">
            <v>217</v>
          </cell>
          <cell r="C71">
            <v>166</v>
          </cell>
          <cell r="D71">
            <v>396</v>
          </cell>
          <cell r="E71">
            <v>1896</v>
          </cell>
          <cell r="F71">
            <v>70</v>
          </cell>
          <cell r="G71">
            <v>142</v>
          </cell>
        </row>
      </sheetData>
      <sheetData sheetId="4" refreshError="1">
        <row r="9">
          <cell r="B9">
            <v>5653</v>
          </cell>
          <cell r="C9">
            <v>1394</v>
          </cell>
          <cell r="D9">
            <v>688</v>
          </cell>
          <cell r="E9">
            <v>8127</v>
          </cell>
          <cell r="F9">
            <v>20124</v>
          </cell>
          <cell r="G9">
            <v>937</v>
          </cell>
          <cell r="H9">
            <v>-13893</v>
          </cell>
          <cell r="I9">
            <v>23030</v>
          </cell>
        </row>
        <row r="19">
          <cell r="I19">
            <v>-207</v>
          </cell>
        </row>
        <row r="25">
          <cell r="B25">
            <v>4907</v>
          </cell>
          <cell r="C25">
            <v>2586</v>
          </cell>
          <cell r="D25">
            <v>5079</v>
          </cell>
          <cell r="E25">
            <v>25309</v>
          </cell>
          <cell r="F25">
            <v>5215</v>
          </cell>
          <cell r="G25">
            <v>1265</v>
          </cell>
          <cell r="H25">
            <v>1436</v>
          </cell>
        </row>
        <row r="31">
          <cell r="B31">
            <v>-1374</v>
          </cell>
          <cell r="C31">
            <v>-4</v>
          </cell>
          <cell r="D31">
            <v>351</v>
          </cell>
          <cell r="E31">
            <v>1591</v>
          </cell>
          <cell r="F31">
            <v>721</v>
          </cell>
          <cell r="G31">
            <v>146</v>
          </cell>
          <cell r="H31">
            <v>-126</v>
          </cell>
        </row>
        <row r="34">
          <cell r="B34">
            <v>309</v>
          </cell>
          <cell r="C34">
            <v>223</v>
          </cell>
          <cell r="D34">
            <v>494</v>
          </cell>
          <cell r="E34">
            <v>2638</v>
          </cell>
          <cell r="F34">
            <v>762</v>
          </cell>
          <cell r="G34">
            <v>314</v>
          </cell>
          <cell r="H34">
            <v>-134</v>
          </cell>
          <cell r="I34">
            <v>4606</v>
          </cell>
        </row>
        <row r="37">
          <cell r="I37">
            <v>3649</v>
          </cell>
        </row>
        <row r="47">
          <cell r="B47">
            <v>8189</v>
          </cell>
          <cell r="C47">
            <v>1664</v>
          </cell>
          <cell r="D47">
            <v>561</v>
          </cell>
          <cell r="E47">
            <v>8961</v>
          </cell>
          <cell r="F47">
            <v>26662</v>
          </cell>
          <cell r="G47">
            <v>784</v>
          </cell>
          <cell r="H47">
            <v>-15038</v>
          </cell>
          <cell r="I47">
            <v>31783</v>
          </cell>
        </row>
        <row r="63">
          <cell r="B63">
            <v>7018</v>
          </cell>
          <cell r="C63">
            <v>2995</v>
          </cell>
          <cell r="D63">
            <v>3971</v>
          </cell>
          <cell r="E63">
            <v>24194</v>
          </cell>
          <cell r="F63">
            <v>8581</v>
          </cell>
          <cell r="G63">
            <v>1291</v>
          </cell>
          <cell r="H63">
            <v>1748</v>
          </cell>
        </row>
        <row r="69">
          <cell r="B69">
            <v>605</v>
          </cell>
          <cell r="C69">
            <v>140</v>
          </cell>
          <cell r="D69">
            <v>179</v>
          </cell>
          <cell r="E69">
            <v>2442</v>
          </cell>
          <cell r="F69">
            <v>410</v>
          </cell>
          <cell r="G69">
            <v>32</v>
          </cell>
          <cell r="H69">
            <v>17</v>
          </cell>
        </row>
        <row r="72">
          <cell r="B72">
            <v>876</v>
          </cell>
          <cell r="C72">
            <v>221</v>
          </cell>
          <cell r="D72">
            <v>321</v>
          </cell>
          <cell r="E72">
            <v>3426</v>
          </cell>
          <cell r="F72">
            <v>452</v>
          </cell>
          <cell r="G72">
            <v>160</v>
          </cell>
          <cell r="H72">
            <v>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VI_ulwRDx0muSQtSa50oM25La2btQx1Lrl5tkuoSV10-3-Hf9YIjS50LNQVGzyJP" itemId="01FHHTKUVTXMXYDQ3REJEJH3G2OWHXFNQN"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 PY"/>
      <sheetName val="segmenty"/>
      <sheetName val="segmenty 3 m-ce PREZ"/>
      <sheetName val="segmenty 3 m-ce PY"/>
      <sheetName val="segmenty 3 m-ce"/>
      <sheetName val="Działalność zaniech."/>
      <sheetName val="1_1"/>
      <sheetName val="18"/>
      <sheetName val="Nakłady inwesycyjne TW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BD10"/>
      <sheetName val="Nakłady inwestycyjne TWD 3Q2022"/>
      <sheetName val="działalność zaniechana"/>
      <sheetName val="BD11"/>
      <sheetName val="2_5 3Q2022"/>
      <sheetName val="BD12"/>
      <sheetName val="BD13"/>
    </sheetNames>
    <sheetDataSet>
      <sheetData sheetId="0" refreshError="1"/>
      <sheetData sheetId="1" refreshError="1"/>
      <sheetData sheetId="2" refreshError="1"/>
      <sheetData sheetId="3" refreshError="1">
        <row r="9">
          <cell r="G9">
            <v>-4371</v>
          </cell>
        </row>
        <row r="12">
          <cell r="G12">
            <v>-46</v>
          </cell>
        </row>
        <row r="16">
          <cell r="G16">
            <v>-47</v>
          </cell>
        </row>
        <row r="27">
          <cell r="G27">
            <v>1856</v>
          </cell>
        </row>
        <row r="45">
          <cell r="G45">
            <v>-6685</v>
          </cell>
        </row>
        <row r="48">
          <cell r="G48">
            <v>86</v>
          </cell>
        </row>
        <row r="52">
          <cell r="G52">
            <v>85</v>
          </cell>
        </row>
        <row r="63">
          <cell r="G63">
            <v>1748</v>
          </cell>
        </row>
      </sheetData>
      <sheetData sheetId="4" refreshError="1"/>
      <sheetData sheetId="5" refreshError="1">
        <row r="9">
          <cell r="B9">
            <v>2860</v>
          </cell>
          <cell r="C9">
            <v>292</v>
          </cell>
          <cell r="D9">
            <v>2446</v>
          </cell>
          <cell r="H9">
            <v>8142</v>
          </cell>
        </row>
        <row r="19">
          <cell r="H19">
            <v>531</v>
          </cell>
        </row>
        <row r="25">
          <cell r="B25">
            <v>9914</v>
          </cell>
          <cell r="C25">
            <v>4288</v>
          </cell>
          <cell r="D25">
            <v>24794</v>
          </cell>
          <cell r="E25">
            <v>6851</v>
          </cell>
          <cell r="F25">
            <v>1296</v>
          </cell>
        </row>
        <row r="31">
          <cell r="C31">
            <v>182</v>
          </cell>
          <cell r="D31">
            <v>280</v>
          </cell>
          <cell r="E31">
            <v>322</v>
          </cell>
          <cell r="F31">
            <v>53</v>
          </cell>
        </row>
        <row r="34">
          <cell r="C34">
            <v>229</v>
          </cell>
          <cell r="D34">
            <v>622</v>
          </cell>
          <cell r="E34">
            <v>335</v>
          </cell>
          <cell r="F34">
            <v>110</v>
          </cell>
          <cell r="H34">
            <v>1541</v>
          </cell>
        </row>
        <row r="37">
          <cell r="B37">
            <v>46</v>
          </cell>
          <cell r="C37">
            <v>99</v>
          </cell>
          <cell r="D37">
            <v>657</v>
          </cell>
          <cell r="E37">
            <v>13</v>
          </cell>
          <cell r="F37">
            <v>32</v>
          </cell>
          <cell r="H37">
            <v>847</v>
          </cell>
        </row>
        <row r="47">
          <cell r="C47">
            <v>269</v>
          </cell>
          <cell r="D47">
            <v>3327</v>
          </cell>
          <cell r="E47">
            <v>12232</v>
          </cell>
          <cell r="F47">
            <v>386</v>
          </cell>
          <cell r="H47">
            <v>13559</v>
          </cell>
        </row>
        <row r="57">
          <cell r="H57">
            <v>1036</v>
          </cell>
        </row>
        <row r="63">
          <cell r="B63">
            <v>10023</v>
          </cell>
          <cell r="C63">
            <v>3971</v>
          </cell>
          <cell r="D63">
            <v>24189</v>
          </cell>
          <cell r="E63">
            <v>8550</v>
          </cell>
          <cell r="F63">
            <v>1317</v>
          </cell>
        </row>
        <row r="69">
          <cell r="B69">
            <v>346</v>
          </cell>
          <cell r="C69">
            <v>138</v>
          </cell>
          <cell r="D69">
            <v>968</v>
          </cell>
          <cell r="E69">
            <v>132</v>
          </cell>
          <cell r="F69">
            <v>27</v>
          </cell>
        </row>
        <row r="72">
          <cell r="B72">
            <v>458</v>
          </cell>
          <cell r="C72">
            <v>186</v>
          </cell>
          <cell r="D72">
            <v>1286</v>
          </cell>
          <cell r="E72">
            <v>145</v>
          </cell>
          <cell r="F72">
            <v>70</v>
          </cell>
          <cell r="H72">
            <v>2230</v>
          </cell>
        </row>
        <row r="75">
          <cell r="B75">
            <v>74</v>
          </cell>
          <cell r="C75">
            <v>75</v>
          </cell>
          <cell r="D75">
            <v>574</v>
          </cell>
          <cell r="E75">
            <v>24</v>
          </cell>
          <cell r="F75">
            <v>33</v>
          </cell>
          <cell r="H75">
            <v>780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VI_ulwRDx0muSQtSa50oM25La2btQx1Lrl5tkuoSV10-3-Hf9YIjS50LNQVGzyJP" itemId="01FHHTKURVTUA5IRYQFBH3KEDA45Q2TYS4">
      <xxl21:absoluteUrl r:id="rId2"/>
      <xxl21:relativeUrl r:id="rId3"/>
    </xxl21:alternateUrls>
    <sheetNames>
      <sheetName val="ToC"/>
      <sheetName val="BIPMETAWS"/>
      <sheetName val="Settings"/>
      <sheetName val="segmenty prez CY"/>
      <sheetName val="segmenty prez PY"/>
      <sheetName val="działalność zaniech."/>
      <sheetName val="segmenty"/>
      <sheetName val="1_1"/>
      <sheetName val="18"/>
      <sheetName val="Nakłady inwestycyjne TW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BD10"/>
      <sheetName val="działalność zaniechana"/>
      <sheetName val="BD11"/>
      <sheetName val="2_5 2021"/>
      <sheetName val="BD12"/>
      <sheetName val="BD14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>
            <v>13325</v>
          </cell>
          <cell r="C9">
            <v>750</v>
          </cell>
          <cell r="D9">
            <v>11734</v>
          </cell>
          <cell r="E9">
            <v>35803</v>
          </cell>
          <cell r="F9">
            <v>1542</v>
          </cell>
          <cell r="H9">
            <v>42657</v>
          </cell>
        </row>
        <row r="19">
          <cell r="H19">
            <v>1678</v>
          </cell>
        </row>
        <row r="25">
          <cell r="B25">
            <v>10023</v>
          </cell>
          <cell r="C25">
            <v>3971</v>
          </cell>
          <cell r="D25">
            <v>24189</v>
          </cell>
          <cell r="E25">
            <v>8550</v>
          </cell>
          <cell r="F25">
            <v>1317</v>
          </cell>
        </row>
        <row r="31">
          <cell r="B31">
            <v>347</v>
          </cell>
          <cell r="C31">
            <v>261</v>
          </cell>
          <cell r="D31">
            <v>2197</v>
          </cell>
          <cell r="E31">
            <v>522</v>
          </cell>
          <cell r="F31">
            <v>96</v>
          </cell>
        </row>
        <row r="34">
          <cell r="B34">
            <v>1377</v>
          </cell>
          <cell r="C34">
            <v>431</v>
          </cell>
          <cell r="D34">
            <v>3528</v>
          </cell>
          <cell r="E34">
            <v>568</v>
          </cell>
          <cell r="F34">
            <v>273</v>
          </cell>
          <cell r="H34">
            <v>6145</v>
          </cell>
        </row>
        <row r="37">
          <cell r="B37">
            <v>568</v>
          </cell>
          <cell r="C37">
            <v>593</v>
          </cell>
          <cell r="D37">
            <v>2762</v>
          </cell>
          <cell r="E37">
            <v>109</v>
          </cell>
          <cell r="F37">
            <v>332</v>
          </cell>
          <cell r="H37">
            <v>4364</v>
          </cell>
        </row>
        <row r="48">
          <cell r="B48">
            <v>11126</v>
          </cell>
          <cell r="C48">
            <v>909</v>
          </cell>
          <cell r="D48">
            <v>7611</v>
          </cell>
          <cell r="E48">
            <v>35491</v>
          </cell>
          <cell r="F48">
            <v>1428</v>
          </cell>
          <cell r="I48">
            <v>2680</v>
          </cell>
          <cell r="J48">
            <v>-1650</v>
          </cell>
        </row>
        <row r="64">
          <cell r="B64">
            <v>10157</v>
          </cell>
          <cell r="C64">
            <v>2910</v>
          </cell>
          <cell r="D64">
            <v>22174</v>
          </cell>
          <cell r="E64">
            <v>6701</v>
          </cell>
          <cell r="F64">
            <v>1156</v>
          </cell>
        </row>
        <row r="70">
          <cell r="B70">
            <v>-1307</v>
          </cell>
          <cell r="C70">
            <v>292</v>
          </cell>
          <cell r="D70">
            <v>1679</v>
          </cell>
          <cell r="E70">
            <v>550</v>
          </cell>
          <cell r="F70">
            <v>163</v>
          </cell>
          <cell r="I70">
            <v>490</v>
          </cell>
          <cell r="J70">
            <v>-440</v>
          </cell>
        </row>
        <row r="73">
          <cell r="B73">
            <v>-779</v>
          </cell>
          <cell r="C73">
            <v>476</v>
          </cell>
          <cell r="D73">
            <v>2939</v>
          </cell>
          <cell r="E73">
            <v>594</v>
          </cell>
          <cell r="F73">
            <v>298</v>
          </cell>
          <cell r="I73">
            <v>781</v>
          </cell>
          <cell r="J73">
            <v>20</v>
          </cell>
        </row>
        <row r="76">
          <cell r="B76">
            <v>383</v>
          </cell>
          <cell r="C76">
            <v>459</v>
          </cell>
          <cell r="D76">
            <v>2137</v>
          </cell>
          <cell r="E76">
            <v>75</v>
          </cell>
          <cell r="F76">
            <v>391</v>
          </cell>
          <cell r="I76">
            <v>517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VI_ulwRDx0muSQtSa50oM25La2btQx1Lrl5tkuoSV10-3-Hf9YIjS50LNQVGzyJP" itemId="01FHHTKUV6LQDUAAUQDVBJ5B56U2D2MSAQ"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 PY"/>
      <sheetName val="segmenty"/>
      <sheetName val="segmenty 3 m-ce PREZ"/>
      <sheetName val="segmenty 3 m-ce PY"/>
      <sheetName val="segmenty 3 m-ce"/>
      <sheetName val="Działalność zaniech."/>
      <sheetName val="1_1"/>
      <sheetName val="18"/>
      <sheetName val="Nakłady inwesycyjne TW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BD10"/>
      <sheetName val="Nakłady inwestycyjne TWD 3Q2022"/>
      <sheetName val="działalność zaniechana"/>
      <sheetName val="BD11"/>
      <sheetName val="2_5 3Q2022"/>
      <sheetName val="BD12"/>
      <sheetName val="BD13"/>
    </sheetNames>
    <sheetDataSet>
      <sheetData sheetId="0"/>
      <sheetData sheetId="1"/>
      <sheetData sheetId="2"/>
      <sheetData sheetId="3"/>
      <sheetData sheetId="4"/>
      <sheetData sheetId="5">
        <row r="9">
          <cell r="B9">
            <v>9514</v>
          </cell>
          <cell r="C9">
            <v>561</v>
          </cell>
          <cell r="D9">
            <v>8964</v>
          </cell>
          <cell r="E9">
            <v>27270</v>
          </cell>
          <cell r="F9">
            <v>1082</v>
          </cell>
          <cell r="H9">
            <v>32442</v>
          </cell>
        </row>
        <row r="19">
          <cell r="H19">
            <v>2263</v>
          </cell>
        </row>
        <row r="25">
          <cell r="B25">
            <v>10231</v>
          </cell>
          <cell r="C25">
            <v>3527</v>
          </cell>
          <cell r="D25">
            <v>23631</v>
          </cell>
          <cell r="E25">
            <v>8842</v>
          </cell>
          <cell r="F25">
            <v>1130</v>
          </cell>
        </row>
        <row r="31">
          <cell r="B31">
            <v>735</v>
          </cell>
          <cell r="C31">
            <v>179</v>
          </cell>
          <cell r="D31">
            <v>2443</v>
          </cell>
          <cell r="E31">
            <v>414</v>
          </cell>
          <cell r="F31">
            <v>37</v>
          </cell>
        </row>
        <row r="34">
          <cell r="B34">
            <v>1085</v>
          </cell>
          <cell r="C34">
            <v>321</v>
          </cell>
          <cell r="D34">
            <v>3426</v>
          </cell>
          <cell r="E34">
            <v>456</v>
          </cell>
          <cell r="F34">
            <v>168</v>
          </cell>
          <cell r="H34">
            <v>5471</v>
          </cell>
        </row>
        <row r="37">
          <cell r="B37">
            <v>382</v>
          </cell>
          <cell r="C37">
            <v>396</v>
          </cell>
          <cell r="D37">
            <v>1896</v>
          </cell>
          <cell r="E37">
            <v>70</v>
          </cell>
          <cell r="F37">
            <v>143</v>
          </cell>
          <cell r="H37">
            <v>2887</v>
          </cell>
        </row>
        <row r="48">
          <cell r="B48">
            <v>7672</v>
          </cell>
          <cell r="C48">
            <v>746</v>
          </cell>
          <cell r="D48">
            <v>5731</v>
          </cell>
          <cell r="E48">
            <v>26311</v>
          </cell>
          <cell r="F48">
            <v>1055</v>
          </cell>
          <cell r="I48">
            <v>1639</v>
          </cell>
          <cell r="J48">
            <v>-1093</v>
          </cell>
        </row>
        <row r="64">
          <cell r="B64">
            <v>10157</v>
          </cell>
          <cell r="C64">
            <v>2910</v>
          </cell>
          <cell r="D64">
            <v>22174</v>
          </cell>
          <cell r="E64">
            <v>6701</v>
          </cell>
          <cell r="F64">
            <v>1156</v>
          </cell>
        </row>
        <row r="70">
          <cell r="B70">
            <v>-1003</v>
          </cell>
          <cell r="C70">
            <v>272</v>
          </cell>
          <cell r="D70">
            <v>1415</v>
          </cell>
          <cell r="E70">
            <v>476</v>
          </cell>
          <cell r="F70">
            <v>71</v>
          </cell>
          <cell r="I70">
            <v>57</v>
          </cell>
          <cell r="J70">
            <v>13</v>
          </cell>
        </row>
        <row r="73">
          <cell r="B73">
            <v>-668</v>
          </cell>
          <cell r="C73">
            <v>382</v>
          </cell>
          <cell r="D73">
            <v>2349</v>
          </cell>
          <cell r="E73">
            <v>509</v>
          </cell>
          <cell r="F73">
            <v>169</v>
          </cell>
          <cell r="I73">
            <v>271</v>
          </cell>
          <cell r="J73">
            <v>13</v>
          </cell>
        </row>
        <row r="76">
          <cell r="B76">
            <v>268</v>
          </cell>
          <cell r="C76">
            <v>294</v>
          </cell>
          <cell r="D76">
            <v>1438</v>
          </cell>
          <cell r="E76">
            <v>56</v>
          </cell>
          <cell r="F76">
            <v>232</v>
          </cell>
          <cell r="I76">
            <v>311</v>
          </cell>
        </row>
      </sheetData>
      <sheetData sheetId="6">
        <row r="9">
          <cell r="B9">
            <v>2646</v>
          </cell>
          <cell r="C9">
            <v>121</v>
          </cell>
          <cell r="D9">
            <v>2846</v>
          </cell>
          <cell r="E9">
            <v>6349</v>
          </cell>
          <cell r="F9">
            <v>357</v>
          </cell>
        </row>
        <row r="12">
          <cell r="B12">
            <v>9</v>
          </cell>
          <cell r="C12">
            <v>-1</v>
          </cell>
          <cell r="D12">
            <v>761</v>
          </cell>
          <cell r="E12">
            <v>-104</v>
          </cell>
          <cell r="F12">
            <v>7</v>
          </cell>
        </row>
        <row r="16">
          <cell r="B16">
            <v>128</v>
          </cell>
          <cell r="C16">
            <v>45</v>
          </cell>
          <cell r="D16">
            <v>1096</v>
          </cell>
          <cell r="E16">
            <v>-91</v>
          </cell>
          <cell r="F16">
            <v>53</v>
          </cell>
        </row>
        <row r="25">
          <cell r="B25">
            <v>187</v>
          </cell>
          <cell r="C25">
            <v>86</v>
          </cell>
          <cell r="D25">
            <v>676</v>
          </cell>
          <cell r="E25">
            <v>24</v>
          </cell>
          <cell r="F25">
            <v>49</v>
          </cell>
        </row>
        <row r="39">
          <cell r="B39">
            <v>2253</v>
          </cell>
          <cell r="C39">
            <v>178</v>
          </cell>
          <cell r="D39">
            <v>1812</v>
          </cell>
          <cell r="E39">
            <v>8058</v>
          </cell>
          <cell r="F39">
            <v>351</v>
          </cell>
          <cell r="K39">
            <v>123</v>
          </cell>
        </row>
        <row r="42">
          <cell r="B42">
            <v>-751</v>
          </cell>
          <cell r="C42">
            <v>50</v>
          </cell>
          <cell r="D42">
            <v>323</v>
          </cell>
          <cell r="E42">
            <v>457</v>
          </cell>
          <cell r="F42">
            <v>12</v>
          </cell>
          <cell r="K42">
            <v>-75</v>
          </cell>
        </row>
        <row r="46">
          <cell r="B46">
            <v>-638</v>
          </cell>
          <cell r="C46">
            <v>86</v>
          </cell>
          <cell r="D46">
            <v>640</v>
          </cell>
          <cell r="E46">
            <v>468</v>
          </cell>
          <cell r="F46">
            <v>44</v>
          </cell>
          <cell r="K46">
            <v>-47</v>
          </cell>
        </row>
        <row r="55">
          <cell r="B55">
            <v>151</v>
          </cell>
          <cell r="C55">
            <v>201</v>
          </cell>
          <cell r="D55">
            <v>560</v>
          </cell>
          <cell r="E55">
            <v>20</v>
          </cell>
          <cell r="F55">
            <v>42</v>
          </cell>
          <cell r="I55">
            <v>144</v>
          </cell>
        </row>
      </sheetData>
      <sheetData sheetId="7"/>
      <sheetData sheetId="8">
        <row r="69">
          <cell r="H69">
            <v>9160</v>
          </cell>
        </row>
        <row r="79">
          <cell r="H79">
            <v>387</v>
          </cell>
        </row>
        <row r="84">
          <cell r="H84">
            <v>1197</v>
          </cell>
        </row>
        <row r="87">
          <cell r="H87">
            <v>1022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VI_ulwRDx0muSQtSa50oM25La2btQx1Lrl5tkuoSV10-3-Hf9YIjS50LNQVGzyJP" itemId="01FHHTKUVUE5YGEKI2DZFYP45VUXM66TMP"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segmenty 3 m-ce PREZ"/>
      <sheetName val="segmenty 3 m-ce"/>
      <sheetName val="1_1"/>
      <sheetName val="18"/>
      <sheetName val="Nakłady inwesycyjne TW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BD10"/>
      <sheetName val="Nakłady inwestycyjne TWD 2Q2022"/>
      <sheetName val="działalność zaniechana"/>
      <sheetName val="BD11"/>
      <sheetName val="2_5 2Q2022"/>
      <sheetName val="BD12"/>
      <sheetName val="BD13"/>
    </sheetNames>
    <sheetDataSet>
      <sheetData sheetId="0"/>
      <sheetData sheetId="1"/>
      <sheetData sheetId="2"/>
      <sheetData sheetId="3"/>
      <sheetData sheetId="4">
        <row r="9">
          <cell r="B9">
            <v>6868</v>
          </cell>
          <cell r="C9">
            <v>440</v>
          </cell>
          <cell r="D9">
            <v>6118</v>
          </cell>
          <cell r="E9">
            <v>20921</v>
          </cell>
          <cell r="F9">
            <v>725</v>
          </cell>
          <cell r="H9">
            <v>23282</v>
          </cell>
        </row>
        <row r="19">
          <cell r="H19">
            <v>1876</v>
          </cell>
        </row>
        <row r="25">
          <cell r="B25">
            <v>10370</v>
          </cell>
          <cell r="C25">
            <v>3271</v>
          </cell>
          <cell r="D25">
            <v>23243</v>
          </cell>
          <cell r="E25">
            <v>8069</v>
          </cell>
          <cell r="F25">
            <v>1147</v>
          </cell>
        </row>
        <row r="31">
          <cell r="B31">
            <v>726</v>
          </cell>
          <cell r="C31">
            <v>180</v>
          </cell>
          <cell r="D31">
            <v>1682</v>
          </cell>
          <cell r="E31">
            <v>518</v>
          </cell>
          <cell r="F31">
            <v>30</v>
          </cell>
        </row>
        <row r="34">
          <cell r="B34">
            <v>957</v>
          </cell>
          <cell r="C34">
            <v>276</v>
          </cell>
          <cell r="D34">
            <v>2330</v>
          </cell>
          <cell r="E34">
            <v>547</v>
          </cell>
          <cell r="F34">
            <v>115</v>
          </cell>
          <cell r="H34">
            <v>4274</v>
          </cell>
        </row>
        <row r="37">
          <cell r="B37">
            <v>195</v>
          </cell>
          <cell r="C37">
            <v>310</v>
          </cell>
          <cell r="D37">
            <v>1220</v>
          </cell>
          <cell r="E37">
            <v>46</v>
          </cell>
          <cell r="F37">
            <v>94</v>
          </cell>
          <cell r="H37">
            <v>1865</v>
          </cell>
        </row>
        <row r="48">
          <cell r="B48">
            <v>5419</v>
          </cell>
          <cell r="C48">
            <v>568</v>
          </cell>
          <cell r="D48">
            <v>3919</v>
          </cell>
          <cell r="E48">
            <v>18257</v>
          </cell>
          <cell r="F48">
            <v>704</v>
          </cell>
          <cell r="I48">
            <v>1195</v>
          </cell>
          <cell r="J48">
            <v>-772</v>
          </cell>
          <cell r="K48">
            <v>18124</v>
          </cell>
        </row>
        <row r="57">
          <cell r="K57">
            <v>629</v>
          </cell>
        </row>
        <row r="63">
          <cell r="B63">
            <v>10157</v>
          </cell>
          <cell r="C63">
            <v>2910</v>
          </cell>
          <cell r="D63">
            <v>22174</v>
          </cell>
          <cell r="E63">
            <v>6701</v>
          </cell>
          <cell r="F63">
            <v>1156</v>
          </cell>
          <cell r="I63">
            <v>0</v>
          </cell>
          <cell r="J63">
            <v>0</v>
          </cell>
        </row>
        <row r="69">
          <cell r="B69">
            <v>-252</v>
          </cell>
          <cell r="C69">
            <v>222</v>
          </cell>
          <cell r="D69">
            <v>1092</v>
          </cell>
          <cell r="E69">
            <v>19</v>
          </cell>
          <cell r="F69">
            <v>59</v>
          </cell>
          <cell r="I69">
            <v>138</v>
          </cell>
          <cell r="J69">
            <v>7</v>
          </cell>
        </row>
        <row r="72">
          <cell r="B72">
            <v>-30</v>
          </cell>
          <cell r="C72">
            <v>296</v>
          </cell>
          <cell r="D72">
            <v>1709</v>
          </cell>
          <cell r="E72">
            <v>41</v>
          </cell>
          <cell r="F72">
            <v>125</v>
          </cell>
          <cell r="I72">
            <v>324</v>
          </cell>
          <cell r="J72">
            <v>7</v>
          </cell>
          <cell r="K72">
            <v>2351</v>
          </cell>
        </row>
        <row r="75">
          <cell r="B75">
            <v>117</v>
          </cell>
          <cell r="C75">
            <v>93</v>
          </cell>
          <cell r="D75">
            <v>878</v>
          </cell>
          <cell r="E75">
            <v>36</v>
          </cell>
          <cell r="F75">
            <v>190</v>
          </cell>
          <cell r="I75">
            <v>167</v>
          </cell>
          <cell r="J75">
            <v>0</v>
          </cell>
          <cell r="K75">
            <v>1481</v>
          </cell>
        </row>
      </sheetData>
      <sheetData sheetId="5">
        <row r="25">
          <cell r="B25">
            <v>121</v>
          </cell>
          <cell r="C25">
            <v>235</v>
          </cell>
          <cell r="D25">
            <v>646</v>
          </cell>
          <cell r="E25">
            <v>22</v>
          </cell>
          <cell r="F25">
            <v>61</v>
          </cell>
        </row>
        <row r="54">
          <cell r="B54">
            <v>53</v>
          </cell>
          <cell r="C54">
            <v>72</v>
          </cell>
          <cell r="D54">
            <v>472</v>
          </cell>
          <cell r="E54">
            <v>22</v>
          </cell>
          <cell r="F54">
            <v>154</v>
          </cell>
          <cell r="I54">
            <v>98</v>
          </cell>
        </row>
      </sheetData>
      <sheetData sheetId="6">
        <row r="69">
          <cell r="B69">
            <v>2838</v>
          </cell>
          <cell r="C69">
            <v>171</v>
          </cell>
          <cell r="D69">
            <v>2791</v>
          </cell>
          <cell r="E69">
            <v>8689</v>
          </cell>
          <cell r="F69">
            <v>339</v>
          </cell>
        </row>
        <row r="81">
          <cell r="B81">
            <v>380</v>
          </cell>
          <cell r="C81">
            <v>42</v>
          </cell>
          <cell r="D81">
            <v>714</v>
          </cell>
          <cell r="E81">
            <v>386</v>
          </cell>
          <cell r="F81">
            <v>3</v>
          </cell>
        </row>
        <row r="84">
          <cell r="B84">
            <v>499</v>
          </cell>
          <cell r="C84">
            <v>90</v>
          </cell>
          <cell r="D84">
            <v>1044</v>
          </cell>
          <cell r="E84">
            <v>402</v>
          </cell>
          <cell r="F84">
            <v>45</v>
          </cell>
        </row>
        <row r="101">
          <cell r="B101">
            <v>2363</v>
          </cell>
          <cell r="C101">
            <v>254</v>
          </cell>
          <cell r="D101">
            <v>1896</v>
          </cell>
          <cell r="E101">
            <v>7670</v>
          </cell>
          <cell r="F101">
            <v>345</v>
          </cell>
          <cell r="I101">
            <v>637</v>
          </cell>
          <cell r="J101">
            <v>-407</v>
          </cell>
        </row>
        <row r="112">
          <cell r="B112">
            <v>-1038</v>
          </cell>
          <cell r="C112">
            <v>68</v>
          </cell>
          <cell r="D112">
            <v>531</v>
          </cell>
          <cell r="E112">
            <v>132</v>
          </cell>
          <cell r="F112">
            <v>30</v>
          </cell>
          <cell r="I112">
            <v>73</v>
          </cell>
          <cell r="J112">
            <v>3</v>
          </cell>
        </row>
        <row r="115">
          <cell r="B115">
            <v>-925</v>
          </cell>
          <cell r="C115">
            <v>110</v>
          </cell>
          <cell r="D115">
            <v>845</v>
          </cell>
          <cell r="E115">
            <v>144</v>
          </cell>
          <cell r="F115">
            <v>65</v>
          </cell>
          <cell r="I115">
            <v>207</v>
          </cell>
          <cell r="J115">
            <v>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VI_ulwRDx0muSQtSa50oM25La2btQx1Lrl5tkuoSV10-3-Hf9YIjS50LNQVGzyJP" itemId="01FHHTKUUC4Y3DKXJF6ZDJEPZFWRKR56HV">
      <xxl21:absoluteUrl r:id="rId2"/>
      <xxl21:relativeUrl r:id="rId3"/>
    </xxl21:alternateUrls>
    <sheetNames>
      <sheetName val="ToC"/>
      <sheetName val="BIPMETAWS"/>
      <sheetName val="Settings"/>
      <sheetName val="segmenty"/>
      <sheetName val="1_1"/>
      <sheetName val="18"/>
      <sheetName val="Nakłady inwesycyjne TW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BD10"/>
      <sheetName val="Nakłady inwestycyjne TWD 1Q2022"/>
      <sheetName val="działalność zaniechana"/>
      <sheetName val="BD11"/>
      <sheetName val="2_5 1Q2022"/>
      <sheetName val="BD12"/>
      <sheetName val="BD14"/>
    </sheetNames>
    <sheetDataSet>
      <sheetData sheetId="0"/>
      <sheetData sheetId="1"/>
      <sheetData sheetId="2"/>
      <sheetData sheetId="3">
        <row r="9">
          <cell r="B9">
            <v>4030</v>
          </cell>
          <cell r="C9">
            <v>269</v>
          </cell>
          <cell r="D9">
            <v>3327</v>
          </cell>
          <cell r="E9">
            <v>12232</v>
          </cell>
          <cell r="F9">
            <v>386</v>
          </cell>
          <cell r="H9">
            <v>13559</v>
          </cell>
        </row>
        <row r="19">
          <cell r="H19">
            <v>1036</v>
          </cell>
        </row>
        <row r="25">
          <cell r="B25">
            <v>10625</v>
          </cell>
          <cell r="C25">
            <v>2960</v>
          </cell>
          <cell r="D25">
            <v>23123</v>
          </cell>
          <cell r="E25">
            <v>10826</v>
          </cell>
          <cell r="F25">
            <v>1144</v>
          </cell>
        </row>
        <row r="31">
          <cell r="B31">
            <v>346</v>
          </cell>
          <cell r="C31">
            <v>138</v>
          </cell>
          <cell r="D31">
            <v>968</v>
          </cell>
          <cell r="E31">
            <v>132</v>
          </cell>
          <cell r="F31">
            <v>27</v>
          </cell>
        </row>
        <row r="34">
          <cell r="B34">
            <v>458</v>
          </cell>
          <cell r="C34">
            <v>186</v>
          </cell>
          <cell r="D34">
            <v>1286</v>
          </cell>
          <cell r="E34">
            <v>145</v>
          </cell>
          <cell r="F34">
            <v>70</v>
          </cell>
          <cell r="H34">
            <v>2230</v>
          </cell>
        </row>
        <row r="37">
          <cell r="H37">
            <v>780</v>
          </cell>
        </row>
        <row r="48">
          <cell r="B48">
            <v>3056</v>
          </cell>
          <cell r="C48">
            <v>314</v>
          </cell>
          <cell r="D48">
            <v>2023</v>
          </cell>
          <cell r="E48">
            <v>10587</v>
          </cell>
          <cell r="F48">
            <v>359</v>
          </cell>
          <cell r="I48">
            <v>558</v>
          </cell>
          <cell r="J48">
            <v>-365</v>
          </cell>
          <cell r="K48">
            <v>9813</v>
          </cell>
        </row>
        <row r="57">
          <cell r="K57">
            <v>901</v>
          </cell>
        </row>
        <row r="63">
          <cell r="B63">
            <v>10157</v>
          </cell>
          <cell r="C63">
            <v>2910</v>
          </cell>
          <cell r="D63">
            <v>22174</v>
          </cell>
          <cell r="E63">
            <v>6701</v>
          </cell>
          <cell r="F63">
            <v>1156</v>
          </cell>
          <cell r="I63">
            <v>0</v>
          </cell>
          <cell r="J63">
            <v>0</v>
          </cell>
        </row>
        <row r="69">
          <cell r="B69">
            <v>786</v>
          </cell>
          <cell r="C69">
            <v>154</v>
          </cell>
          <cell r="D69">
            <v>561</v>
          </cell>
          <cell r="E69">
            <v>-113</v>
          </cell>
          <cell r="F69">
            <v>29</v>
          </cell>
          <cell r="I69">
            <v>65</v>
          </cell>
          <cell r="J69">
            <v>4</v>
          </cell>
        </row>
        <row r="71">
          <cell r="B71">
            <v>895</v>
          </cell>
          <cell r="C71">
            <v>186</v>
          </cell>
          <cell r="D71">
            <v>864</v>
          </cell>
          <cell r="E71">
            <v>-103</v>
          </cell>
          <cell r="F71">
            <v>60</v>
          </cell>
          <cell r="I71">
            <v>117</v>
          </cell>
          <cell r="J71">
            <v>4</v>
          </cell>
          <cell r="K71">
            <v>1955</v>
          </cell>
        </row>
        <row r="74">
          <cell r="K74">
            <v>610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nso_TPE"/>
      <sheetName val="3.1_tab_8"/>
      <sheetName val="Panel"/>
      <sheetName val="Map"/>
      <sheetName val="Konso_Grupa - linki"/>
      <sheetName val="Konso_Grupa"/>
      <sheetName val="Segmenty"/>
      <sheetName val="Source_DO"/>
      <sheetName val="Source_CAPEX"/>
      <sheetName val="Source_reczne"/>
      <sheetName val="Spis treści"/>
      <sheetName val="Infopress"/>
      <sheetName val="Sprawozdanie RN"/>
      <sheetName val="KA_Plan"/>
      <sheetName val="Giełda"/>
      <sheetName val="1.1 &amp; 1.3_Kluczowe_dane"/>
      <sheetName val="4.1 &amp; 4.2_DO"/>
      <sheetName val="6.2_Wyn.fin"/>
      <sheetName val="6.3_Wyn.segment"/>
      <sheetName val="6.4_Syt. maj"/>
      <sheetName val="6.5 &amp; 6.8_Syt.fin"/>
      <sheetName val="6.9_Fin i oper 5lat"/>
      <sheetName val="Dane_operacyjne_analiza"/>
      <sheetName val="CAPEX"/>
      <sheetName val="Syt. CF"/>
      <sheetName val="Analiza CF"/>
      <sheetName val="Konso_Grupa (2)"/>
      <sheetName val="Sprawozdanie_RN_GK"/>
      <sheetName val="Raport_Zintegr"/>
      <sheetName val="dane_fin"/>
      <sheetName val="Dług netto"/>
      <sheetName val="Infopress - TEST"/>
      <sheetName val="Analiza BS"/>
      <sheetName val="Tabele-giełda"/>
      <sheetName val="Cognos_Office_Connection_Cache"/>
      <sheetName val="Wy_ZAR"/>
      <sheetName val="Q&amp;A"/>
    </sheetNames>
    <sheetDataSet>
      <sheetData sheetId="0"/>
      <sheetData sheetId="1"/>
      <sheetData sheetId="2"/>
      <sheetData sheetId="3"/>
      <sheetData sheetId="4"/>
      <sheetData sheetId="5">
        <row r="158">
          <cell r="G158">
            <v>-5830000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8">
          <cell r="M38">
            <v>1.7</v>
          </cell>
          <cell r="N38">
            <v>1.4</v>
          </cell>
        </row>
      </sheetData>
      <sheetData sheetId="22"/>
      <sheetData sheetId="23"/>
      <sheetData sheetId="24"/>
      <sheetData sheetId="25">
        <row r="4">
          <cell r="B4">
            <v>7511000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VI_ulwRDx0muSQtSa50oM25La2btQx1Lrl5tkuoSV10-3-Hf9YIjS50LNQVGzyJP" itemId="01FHHTKUXIRAEPCTG6WFBLHPQET6SALHVP"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segmenty 3 m-ce PREZ"/>
      <sheetName val="segmenty 3 m-ce"/>
      <sheetName val="1_1"/>
      <sheetName val="18"/>
      <sheetName val="Nakłady inwesycyjne TW"/>
      <sheetName val="OSK od nal. TPE"/>
      <sheetName val="przekształcenie Veolia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Nakłady inwestycyjne TWD 2Q2022"/>
      <sheetName val="BD10"/>
      <sheetName val="BD11"/>
    </sheetNames>
    <sheetDataSet>
      <sheetData sheetId="0"/>
      <sheetData sheetId="1"/>
      <sheetData sheetId="2"/>
      <sheetData sheetId="3">
        <row r="9">
          <cell r="H9">
            <v>-7740</v>
          </cell>
        </row>
        <row r="12">
          <cell r="H12">
            <v>-88</v>
          </cell>
        </row>
        <row r="16">
          <cell r="H16">
            <v>-91</v>
          </cell>
        </row>
        <row r="45">
          <cell r="H45">
            <v>-11873</v>
          </cell>
        </row>
        <row r="48">
          <cell r="H48">
            <v>49</v>
          </cell>
        </row>
        <row r="52">
          <cell r="H52">
            <v>49</v>
          </cell>
        </row>
      </sheetData>
      <sheetData sheetId="4">
        <row r="9">
          <cell r="H9">
            <v>-7740</v>
          </cell>
        </row>
        <row r="25">
          <cell r="H25">
            <v>1333</v>
          </cell>
        </row>
        <row r="63">
          <cell r="H63">
            <v>1748</v>
          </cell>
        </row>
      </sheetData>
      <sheetData sheetId="5">
        <row r="9">
          <cell r="H9">
            <v>-3343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dst. dane_Key figures"/>
      <sheetName val="Dane operacyjne_Operating data"/>
      <sheetName val="Osiąg. moc_Achievable capac"/>
      <sheetName val="Zainst. moc_Installed capacity"/>
      <sheetName val="Segmenty_Segment's results"/>
      <sheetName val="Segmenty_Segment's results (2)"/>
      <sheetName val="Inwestycje_CAPEX"/>
      <sheetName val="Rach. zysków i strat_P&amp;L"/>
      <sheetName val="Bilans_Balance sheet"/>
      <sheetName val="Cash flow"/>
      <sheetName val="Hist. dane kwart. - Q figures"/>
      <sheetName val="Hist. dane półr. - H figures"/>
      <sheetName val="Hist. dane roczne - FY fig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O5">
            <v>8484</v>
          </cell>
        </row>
        <row r="13">
          <cell r="O13">
            <v>1330</v>
          </cell>
        </row>
      </sheetData>
      <sheetData sheetId="11"/>
      <sheetData sheetId="1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segmenty_koszty_próba"/>
      <sheetName val="segmenty 3 m-ce PREZ"/>
      <sheetName val="segmenty 3 m-ce"/>
      <sheetName val="1_1"/>
      <sheetName val="18"/>
      <sheetName val="Nakłady inwesycyjne TW"/>
      <sheetName val="doszacowanie TD i TSy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Nakłady inwestycyjne TWD 2Q2022"/>
      <sheetName val="BD10"/>
      <sheetName val="BD11"/>
    </sheetNames>
    <sheetDataSet>
      <sheetData sheetId="0" refreshError="1"/>
      <sheetData sheetId="1" refreshError="1"/>
      <sheetData sheetId="2" refreshError="1"/>
      <sheetData sheetId="3">
        <row r="35">
          <cell r="B35">
            <v>278</v>
          </cell>
          <cell r="C35">
            <v>80</v>
          </cell>
          <cell r="D35">
            <v>517</v>
          </cell>
          <cell r="E35">
            <v>2545</v>
          </cell>
          <cell r="F35">
            <v>2</v>
          </cell>
          <cell r="G35">
            <v>245</v>
          </cell>
        </row>
        <row r="71">
          <cell r="B71">
            <v>70</v>
          </cell>
          <cell r="C71">
            <v>92</v>
          </cell>
          <cell r="D71">
            <v>1141</v>
          </cell>
          <cell r="E71">
            <v>2164</v>
          </cell>
          <cell r="F71">
            <v>4</v>
          </cell>
          <cell r="G71">
            <v>178</v>
          </cell>
        </row>
      </sheetData>
      <sheetData sheetId="4" refreshError="1"/>
      <sheetData sheetId="5" refreshError="1"/>
      <sheetData sheetId="6">
        <row r="25">
          <cell r="G25">
            <v>102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"/>
      <sheetName val="Settings"/>
      <sheetName val="ToC"/>
      <sheetName val="BZ"/>
      <sheetName val="BZ1"/>
      <sheetName val="BZ3"/>
      <sheetName val="MSSF5_BZ"/>
      <sheetName val="BZ4"/>
      <sheetName val="BIPMETAWS"/>
      <sheetName val="BD1"/>
      <sheetName val="BD2"/>
      <sheetName val="BD3"/>
      <sheetName val="BD4"/>
      <sheetName val="DM_Variables"/>
      <sheetName val="BMD1"/>
      <sheetName val="BD5"/>
      <sheetName val="MASSBIPMETAWS"/>
    </sheetNames>
    <sheetDataSet>
      <sheetData sheetId="0" refreshError="1"/>
      <sheetData sheetId="1" refreshError="1">
        <row r="7">
          <cell r="E7">
            <v>1000000</v>
          </cell>
        </row>
        <row r="9">
          <cell r="E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segmenty 3 m-ce PREZ"/>
      <sheetName val="segmenty 3 m-ce"/>
      <sheetName val="1_1"/>
      <sheetName val="18"/>
      <sheetName val="Nakłady inwesycyjne TW"/>
      <sheetName val="doszacowanie TD i TSy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Nakłady inwestycyjne TWD 2Q2022"/>
      <sheetName val="BD10"/>
      <sheetName val="BD11"/>
    </sheetNames>
    <sheetDataSet>
      <sheetData sheetId="0"/>
      <sheetData sheetId="1"/>
      <sheetData sheetId="2"/>
      <sheetData sheetId="3">
        <row r="9">
          <cell r="B9">
            <v>6191</v>
          </cell>
          <cell r="C9">
            <v>390</v>
          </cell>
          <cell r="D9">
            <v>1282</v>
          </cell>
          <cell r="E9">
            <v>11032</v>
          </cell>
          <cell r="F9">
            <v>3902</v>
          </cell>
          <cell r="G9">
            <v>775</v>
          </cell>
          <cell r="H9">
            <v>-6371</v>
          </cell>
          <cell r="I9">
            <v>17201</v>
          </cell>
        </row>
        <row r="15">
          <cell r="B15">
            <v>1564</v>
          </cell>
          <cell r="C15">
            <v>128</v>
          </cell>
          <cell r="D15">
            <v>135</v>
          </cell>
          <cell r="E15">
            <v>269</v>
          </cell>
          <cell r="F15">
            <v>259</v>
          </cell>
          <cell r="G15">
            <v>72</v>
          </cell>
          <cell r="H15">
            <v>-99</v>
          </cell>
        </row>
        <row r="19">
          <cell r="B19">
            <v>2361</v>
          </cell>
          <cell r="C19">
            <v>245</v>
          </cell>
          <cell r="D19">
            <v>235</v>
          </cell>
          <cell r="E19">
            <v>272</v>
          </cell>
          <cell r="F19">
            <v>464</v>
          </cell>
          <cell r="G19">
            <v>224</v>
          </cell>
          <cell r="H19">
            <v>-104</v>
          </cell>
          <cell r="I19">
            <v>3697</v>
          </cell>
        </row>
        <row r="25">
          <cell r="I25">
            <v>1565</v>
          </cell>
        </row>
        <row r="28">
          <cell r="B28">
            <v>29602</v>
          </cell>
          <cell r="C28">
            <v>6790</v>
          </cell>
          <cell r="D28">
            <v>2515</v>
          </cell>
          <cell r="E28">
            <v>5222</v>
          </cell>
          <cell r="F28">
            <v>4092</v>
          </cell>
          <cell r="G28">
            <v>2132</v>
          </cell>
        </row>
        <row r="30">
          <cell r="H30">
            <v>920</v>
          </cell>
        </row>
        <row r="38">
          <cell r="B38">
            <v>1729</v>
          </cell>
          <cell r="C38">
            <v>234</v>
          </cell>
          <cell r="D38">
            <v>97</v>
          </cell>
          <cell r="E38">
            <v>2</v>
          </cell>
          <cell r="F38">
            <v>151</v>
          </cell>
          <cell r="G38">
            <v>210</v>
          </cell>
          <cell r="I38">
            <v>2423</v>
          </cell>
        </row>
        <row r="48">
          <cell r="B48">
            <v>6225</v>
          </cell>
          <cell r="C48">
            <v>506</v>
          </cell>
          <cell r="D48">
            <v>1212</v>
          </cell>
          <cell r="E48">
            <v>13030</v>
          </cell>
          <cell r="F48">
            <v>3912</v>
          </cell>
          <cell r="G48">
            <v>739</v>
          </cell>
          <cell r="H48">
            <v>-8981</v>
          </cell>
          <cell r="I48">
            <v>16643</v>
          </cell>
        </row>
        <row r="54">
          <cell r="B54">
            <v>1753</v>
          </cell>
          <cell r="C54">
            <v>201</v>
          </cell>
          <cell r="D54">
            <v>94</v>
          </cell>
          <cell r="E54">
            <v>574</v>
          </cell>
          <cell r="F54">
            <v>359</v>
          </cell>
          <cell r="G54">
            <v>94</v>
          </cell>
          <cell r="H54">
            <v>-81</v>
          </cell>
        </row>
        <row r="58">
          <cell r="B58">
            <v>2497</v>
          </cell>
          <cell r="C58">
            <v>318</v>
          </cell>
          <cell r="D58">
            <v>189</v>
          </cell>
          <cell r="E58">
            <v>577</v>
          </cell>
          <cell r="F58">
            <v>506</v>
          </cell>
          <cell r="G58">
            <v>223</v>
          </cell>
          <cell r="H58">
            <v>-86</v>
          </cell>
          <cell r="I58">
            <v>4224</v>
          </cell>
        </row>
        <row r="64">
          <cell r="I64">
            <v>2055</v>
          </cell>
        </row>
        <row r="67">
          <cell r="B67">
            <v>28512</v>
          </cell>
          <cell r="C67">
            <v>6566</v>
          </cell>
          <cell r="D67">
            <v>2915</v>
          </cell>
          <cell r="E67">
            <v>3804</v>
          </cell>
          <cell r="F67">
            <v>4072</v>
          </cell>
          <cell r="G67">
            <v>1929</v>
          </cell>
        </row>
        <row r="69">
          <cell r="H69">
            <v>919</v>
          </cell>
        </row>
        <row r="77">
          <cell r="B77">
            <v>1590</v>
          </cell>
          <cell r="C77">
            <v>398</v>
          </cell>
          <cell r="D77">
            <v>48</v>
          </cell>
          <cell r="E77">
            <v>1</v>
          </cell>
          <cell r="F77">
            <v>103</v>
          </cell>
          <cell r="G77">
            <v>143</v>
          </cell>
          <cell r="I77">
            <v>2283</v>
          </cell>
        </row>
      </sheetData>
      <sheetData sheetId="4">
        <row r="9">
          <cell r="B9">
            <v>6191</v>
          </cell>
        </row>
      </sheetData>
      <sheetData sheetId="5">
        <row r="9">
          <cell r="B9">
            <v>2947</v>
          </cell>
          <cell r="C9">
            <v>188</v>
          </cell>
          <cell r="D9">
            <v>402</v>
          </cell>
          <cell r="E9">
            <v>4797</v>
          </cell>
          <cell r="F9">
            <v>1826</v>
          </cell>
          <cell r="G9">
            <v>392</v>
          </cell>
          <cell r="H9">
            <v>-2858</v>
          </cell>
          <cell r="I9">
            <v>7694</v>
          </cell>
        </row>
        <row r="15">
          <cell r="B15">
            <v>777</v>
          </cell>
          <cell r="C15">
            <v>54</v>
          </cell>
          <cell r="D15">
            <v>-20</v>
          </cell>
          <cell r="E15">
            <v>-8</v>
          </cell>
          <cell r="F15">
            <v>109</v>
          </cell>
          <cell r="G15">
            <v>49</v>
          </cell>
          <cell r="H15">
            <v>-46</v>
          </cell>
        </row>
        <row r="19">
          <cell r="B19">
            <v>1177</v>
          </cell>
          <cell r="C19">
            <v>114</v>
          </cell>
          <cell r="D19">
            <v>30</v>
          </cell>
          <cell r="E19">
            <v>-7</v>
          </cell>
          <cell r="F19">
            <v>212</v>
          </cell>
          <cell r="G19">
            <v>128</v>
          </cell>
          <cell r="H19">
            <v>-48</v>
          </cell>
          <cell r="I19">
            <v>1606</v>
          </cell>
        </row>
        <row r="25">
          <cell r="I25">
            <v>586</v>
          </cell>
        </row>
        <row r="28">
          <cell r="B28">
            <v>929</v>
          </cell>
          <cell r="C28">
            <v>51</v>
          </cell>
          <cell r="D28">
            <v>73</v>
          </cell>
          <cell r="E28">
            <v>1</v>
          </cell>
          <cell r="F28">
            <v>86</v>
          </cell>
          <cell r="G28">
            <v>135</v>
          </cell>
          <cell r="I28">
            <v>1275</v>
          </cell>
        </row>
        <row r="41">
          <cell r="B41">
            <v>3012</v>
          </cell>
          <cell r="C41">
            <v>211</v>
          </cell>
          <cell r="D41">
            <v>399</v>
          </cell>
          <cell r="E41">
            <v>6389</v>
          </cell>
          <cell r="F41">
            <v>1692</v>
          </cell>
          <cell r="G41">
            <v>370</v>
          </cell>
          <cell r="H41">
            <v>-4727</v>
          </cell>
          <cell r="I41">
            <v>7346</v>
          </cell>
        </row>
        <row r="47">
          <cell r="B47">
            <v>894</v>
          </cell>
          <cell r="C47">
            <v>79</v>
          </cell>
          <cell r="D47">
            <v>4</v>
          </cell>
          <cell r="E47">
            <v>127</v>
          </cell>
          <cell r="F47">
            <v>117</v>
          </cell>
          <cell r="G47">
            <v>56</v>
          </cell>
          <cell r="H47">
            <v>-41</v>
          </cell>
        </row>
        <row r="51">
          <cell r="B51">
            <v>1271</v>
          </cell>
          <cell r="C51">
            <v>138</v>
          </cell>
          <cell r="D51">
            <v>66</v>
          </cell>
          <cell r="E51">
            <v>129</v>
          </cell>
          <cell r="F51">
            <v>211</v>
          </cell>
          <cell r="G51">
            <v>121</v>
          </cell>
          <cell r="H51">
            <v>-43</v>
          </cell>
          <cell r="I51">
            <v>1893</v>
          </cell>
        </row>
        <row r="57">
          <cell r="I57">
            <v>924</v>
          </cell>
        </row>
        <row r="60">
          <cell r="B60">
            <v>822</v>
          </cell>
          <cell r="C60">
            <v>207</v>
          </cell>
          <cell r="D60">
            <v>25</v>
          </cell>
          <cell r="E60">
            <v>0</v>
          </cell>
          <cell r="F60">
            <v>80</v>
          </cell>
          <cell r="G60">
            <v>77</v>
          </cell>
          <cell r="I60">
            <v>1211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1_1"/>
      <sheetName val="18"/>
      <sheetName val="Nakłady inwesycyjne TW"/>
      <sheetName val="doszacowanie TD i TSy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Nakłady inwestycyjne TWD 2Q2022"/>
      <sheetName val="BD10"/>
      <sheetName val="BD11"/>
    </sheetNames>
    <sheetDataSet>
      <sheetData sheetId="0"/>
      <sheetData sheetId="1"/>
      <sheetData sheetId="2"/>
      <sheetData sheetId="3">
        <row r="9">
          <cell r="B9">
            <v>3244</v>
          </cell>
          <cell r="C9">
            <v>202</v>
          </cell>
          <cell r="D9">
            <v>880</v>
          </cell>
          <cell r="E9">
            <v>6235</v>
          </cell>
          <cell r="F9">
            <v>2076</v>
          </cell>
          <cell r="G9">
            <v>383</v>
          </cell>
          <cell r="H9">
            <v>-3513</v>
          </cell>
          <cell r="I9">
            <v>9507</v>
          </cell>
        </row>
        <row r="15">
          <cell r="B15">
            <v>787</v>
          </cell>
          <cell r="C15">
            <v>74</v>
          </cell>
          <cell r="D15">
            <v>155</v>
          </cell>
          <cell r="E15">
            <v>277</v>
          </cell>
          <cell r="F15">
            <v>150</v>
          </cell>
          <cell r="G15">
            <v>23</v>
          </cell>
          <cell r="H15">
            <v>-53</v>
          </cell>
        </row>
        <row r="19">
          <cell r="B19">
            <v>1184</v>
          </cell>
          <cell r="C19">
            <v>131</v>
          </cell>
          <cell r="D19">
            <v>205</v>
          </cell>
          <cell r="E19">
            <v>279</v>
          </cell>
          <cell r="F19">
            <v>252</v>
          </cell>
          <cell r="G19">
            <v>96</v>
          </cell>
          <cell r="H19">
            <v>-56</v>
          </cell>
          <cell r="I19">
            <v>2091</v>
          </cell>
        </row>
        <row r="25">
          <cell r="I25">
            <v>979</v>
          </cell>
        </row>
        <row r="28">
          <cell r="B28">
            <v>29087</v>
          </cell>
          <cell r="C28">
            <v>6712</v>
          </cell>
          <cell r="D28">
            <v>2777</v>
          </cell>
          <cell r="E28">
            <v>4165</v>
          </cell>
          <cell r="F28">
            <v>4071</v>
          </cell>
          <cell r="G28">
            <v>2068</v>
          </cell>
        </row>
        <row r="30">
          <cell r="H30">
            <v>947</v>
          </cell>
        </row>
        <row r="38">
          <cell r="B38">
            <v>800</v>
          </cell>
          <cell r="C38">
            <v>183</v>
          </cell>
          <cell r="D38">
            <v>24</v>
          </cell>
          <cell r="E38">
            <v>1</v>
          </cell>
          <cell r="F38">
            <v>65</v>
          </cell>
          <cell r="G38">
            <v>75</v>
          </cell>
          <cell r="I38">
            <v>1148</v>
          </cell>
        </row>
        <row r="48">
          <cell r="B48">
            <v>3213</v>
          </cell>
          <cell r="C48">
            <v>295</v>
          </cell>
          <cell r="D48">
            <v>813</v>
          </cell>
          <cell r="E48">
            <v>6641</v>
          </cell>
          <cell r="F48">
            <v>2220</v>
          </cell>
          <cell r="G48">
            <v>369</v>
          </cell>
          <cell r="H48">
            <v>-4254</v>
          </cell>
        </row>
        <row r="54">
          <cell r="B54">
            <v>859</v>
          </cell>
          <cell r="C54">
            <v>122</v>
          </cell>
          <cell r="D54">
            <v>90</v>
          </cell>
          <cell r="E54">
            <v>447</v>
          </cell>
          <cell r="F54">
            <v>242</v>
          </cell>
          <cell r="G54">
            <v>38</v>
          </cell>
          <cell r="H54">
            <v>-40</v>
          </cell>
        </row>
        <row r="58">
          <cell r="B58">
            <v>1226</v>
          </cell>
          <cell r="C58">
            <v>180</v>
          </cell>
          <cell r="D58">
            <v>123</v>
          </cell>
          <cell r="E58">
            <v>448</v>
          </cell>
          <cell r="F58">
            <v>295</v>
          </cell>
          <cell r="G58">
            <v>102</v>
          </cell>
          <cell r="H58">
            <v>-43</v>
          </cell>
        </row>
        <row r="67">
          <cell r="B67">
            <v>28512</v>
          </cell>
          <cell r="C67">
            <v>6566</v>
          </cell>
          <cell r="D67">
            <v>2915</v>
          </cell>
          <cell r="E67">
            <v>3804</v>
          </cell>
          <cell r="F67">
            <v>4072</v>
          </cell>
          <cell r="G67">
            <v>1929</v>
          </cell>
        </row>
        <row r="69">
          <cell r="H69">
            <v>919</v>
          </cell>
        </row>
        <row r="77">
          <cell r="B77">
            <v>768</v>
          </cell>
          <cell r="C77">
            <v>191</v>
          </cell>
          <cell r="D77">
            <v>23</v>
          </cell>
          <cell r="E77">
            <v>1</v>
          </cell>
          <cell r="F77">
            <v>23</v>
          </cell>
          <cell r="G77">
            <v>66</v>
          </cell>
        </row>
      </sheetData>
      <sheetData sheetId="4">
        <row r="9">
          <cell r="B9">
            <v>3244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 CY"/>
      <sheetName val="segmenty prez PY"/>
      <sheetName val="segmenty"/>
      <sheetName val="1_1"/>
      <sheetName val="18"/>
      <sheetName val="Nakłady inwestycyjne TW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BD10"/>
      <sheetName val="2_5 2021"/>
      <sheetName val="BD14"/>
    </sheetNames>
    <sheetDataSet>
      <sheetData sheetId="0"/>
      <sheetData sheetId="1"/>
      <sheetData sheetId="2"/>
      <sheetData sheetId="3"/>
      <sheetData sheetId="4"/>
      <sheetData sheetId="5">
        <row r="7">
          <cell r="I7">
            <v>33277</v>
          </cell>
        </row>
        <row r="9">
          <cell r="B9">
            <v>8070</v>
          </cell>
          <cell r="C9">
            <v>2287</v>
          </cell>
          <cell r="D9">
            <v>939</v>
          </cell>
          <cell r="E9">
            <v>12360</v>
          </cell>
          <cell r="F9">
            <v>25153</v>
          </cell>
          <cell r="G9">
            <v>1496</v>
          </cell>
          <cell r="H9">
            <v>-17028</v>
          </cell>
        </row>
        <row r="21">
          <cell r="I21">
            <v>3315</v>
          </cell>
        </row>
        <row r="27">
          <cell r="B27">
            <v>4072</v>
          </cell>
          <cell r="C27">
            <v>2915</v>
          </cell>
          <cell r="D27">
            <v>6566</v>
          </cell>
          <cell r="E27">
            <v>28512</v>
          </cell>
          <cell r="F27">
            <v>3804</v>
          </cell>
          <cell r="G27">
            <v>1929</v>
          </cell>
          <cell r="H27">
            <v>919</v>
          </cell>
        </row>
        <row r="33">
          <cell r="B33">
            <v>661</v>
          </cell>
          <cell r="C33">
            <v>151</v>
          </cell>
          <cell r="D33">
            <v>368</v>
          </cell>
          <cell r="E33">
            <v>3274</v>
          </cell>
          <cell r="F33">
            <v>651</v>
          </cell>
          <cell r="G33">
            <v>140</v>
          </cell>
          <cell r="H33">
            <v>-153</v>
          </cell>
        </row>
        <row r="36">
          <cell r="B36">
            <v>948</v>
          </cell>
          <cell r="C36">
            <v>296</v>
          </cell>
          <cell r="D36">
            <v>572</v>
          </cell>
          <cell r="E36">
            <v>4788</v>
          </cell>
          <cell r="F36">
            <v>662</v>
          </cell>
          <cell r="G36">
            <v>406</v>
          </cell>
          <cell r="H36">
            <v>-161</v>
          </cell>
          <cell r="I36">
            <v>7511</v>
          </cell>
        </row>
        <row r="39">
          <cell r="B39">
            <v>380</v>
          </cell>
          <cell r="C39">
            <v>132</v>
          </cell>
          <cell r="D39">
            <v>881</v>
          </cell>
          <cell r="E39">
            <v>3831</v>
          </cell>
          <cell r="F39">
            <v>3</v>
          </cell>
          <cell r="G39">
            <v>414</v>
          </cell>
          <cell r="I39">
            <v>5641</v>
          </cell>
        </row>
        <row r="47">
          <cell r="I47">
            <v>32535</v>
          </cell>
        </row>
        <row r="49">
          <cell r="B49">
            <v>8215</v>
          </cell>
          <cell r="C49">
            <v>2193</v>
          </cell>
          <cell r="D49">
            <v>987</v>
          </cell>
          <cell r="E49">
            <v>11434</v>
          </cell>
          <cell r="F49">
            <v>27028</v>
          </cell>
          <cell r="G49">
            <v>1450</v>
          </cell>
          <cell r="H49">
            <v>-18772</v>
          </cell>
        </row>
        <row r="61">
          <cell r="I61">
            <v>590</v>
          </cell>
        </row>
        <row r="67">
          <cell r="B67">
            <v>4305</v>
          </cell>
          <cell r="C67">
            <v>2768</v>
          </cell>
          <cell r="D67">
            <v>5192</v>
          </cell>
          <cell r="E67">
            <v>25961</v>
          </cell>
          <cell r="F67">
            <v>4457</v>
          </cell>
          <cell r="G67">
            <v>1885</v>
          </cell>
          <cell r="H67">
            <v>1146</v>
          </cell>
        </row>
        <row r="73">
          <cell r="B73">
            <v>-1046</v>
          </cell>
          <cell r="C73">
            <v>161</v>
          </cell>
          <cell r="D73">
            <v>497</v>
          </cell>
          <cell r="E73">
            <v>2547</v>
          </cell>
          <cell r="F73">
            <v>537</v>
          </cell>
          <cell r="G73">
            <v>128</v>
          </cell>
          <cell r="H73">
            <v>-173</v>
          </cell>
        </row>
        <row r="76">
          <cell r="B76">
            <v>746</v>
          </cell>
          <cell r="C76">
            <v>302</v>
          </cell>
          <cell r="D76">
            <v>684</v>
          </cell>
          <cell r="E76">
            <v>3963</v>
          </cell>
          <cell r="F76">
            <v>545</v>
          </cell>
          <cell r="G76">
            <v>412</v>
          </cell>
          <cell r="H76">
            <v>-182</v>
          </cell>
          <cell r="I76">
            <v>6470</v>
          </cell>
        </row>
        <row r="79">
          <cell r="B79">
            <v>114</v>
          </cell>
          <cell r="C79">
            <v>135</v>
          </cell>
          <cell r="D79">
            <v>1514</v>
          </cell>
          <cell r="E79">
            <v>3103</v>
          </cell>
          <cell r="F79">
            <v>5</v>
          </cell>
          <cell r="G79">
            <v>256</v>
          </cell>
          <cell r="I79">
            <v>5127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segmenty_koszty_próba"/>
      <sheetName val="segmenty 3 m-ce PREZ"/>
      <sheetName val="segmenty 3 m-ce"/>
      <sheetName val="1_1"/>
      <sheetName val="18"/>
      <sheetName val="Nakłady inwesycyjne TW"/>
      <sheetName val="doszacowanie TD i TSy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Nakłady inwestycyjne TWD 2Q2022"/>
      <sheetName val="BD10"/>
      <sheetName val="BD11"/>
    </sheetNames>
    <sheetDataSet>
      <sheetData sheetId="0"/>
      <sheetData sheetId="1"/>
      <sheetData sheetId="2"/>
      <sheetData sheetId="3">
        <row r="9">
          <cell r="B9">
            <v>5720</v>
          </cell>
          <cell r="C9">
            <v>1491</v>
          </cell>
          <cell r="D9">
            <v>684</v>
          </cell>
          <cell r="E9">
            <v>9327</v>
          </cell>
          <cell r="F9">
            <v>19226</v>
          </cell>
          <cell r="G9">
            <v>1106</v>
          </cell>
          <cell r="H9">
            <v>-13295</v>
          </cell>
          <cell r="I9">
            <v>24259</v>
          </cell>
        </row>
        <row r="12">
          <cell r="B12">
            <v>492</v>
          </cell>
          <cell r="C12">
            <v>38</v>
          </cell>
          <cell r="D12">
            <v>243</v>
          </cell>
          <cell r="E12">
            <v>2699</v>
          </cell>
          <cell r="F12">
            <v>769</v>
          </cell>
          <cell r="G12">
            <v>133</v>
          </cell>
          <cell r="H12">
            <v>-114</v>
          </cell>
        </row>
        <row r="16">
          <cell r="B16">
            <v>739</v>
          </cell>
          <cell r="C16">
            <v>181</v>
          </cell>
          <cell r="D16">
            <v>419</v>
          </cell>
          <cell r="E16">
            <v>3821</v>
          </cell>
          <cell r="F16">
            <v>773</v>
          </cell>
          <cell r="G16">
            <v>332</v>
          </cell>
          <cell r="H16">
            <v>-123</v>
          </cell>
          <cell r="I16">
            <v>6142</v>
          </cell>
        </row>
        <row r="22">
          <cell r="I22">
            <v>2899</v>
          </cell>
        </row>
        <row r="25">
          <cell r="B25">
            <v>4101</v>
          </cell>
          <cell r="C25">
            <v>2569</v>
          </cell>
          <cell r="D25">
            <v>6123</v>
          </cell>
          <cell r="E25">
            <v>27589</v>
          </cell>
          <cell r="F25">
            <v>3373</v>
          </cell>
          <cell r="G25">
            <v>1936</v>
          </cell>
        </row>
        <row r="27">
          <cell r="H27">
            <v>1066</v>
          </cell>
        </row>
        <row r="35">
          <cell r="I35">
            <v>3667</v>
          </cell>
        </row>
        <row r="45">
          <cell r="B45">
            <v>5653</v>
          </cell>
          <cell r="C45">
            <v>1394</v>
          </cell>
          <cell r="D45">
            <v>688</v>
          </cell>
          <cell r="E45">
            <v>8589</v>
          </cell>
          <cell r="F45">
            <v>20386</v>
          </cell>
          <cell r="G45">
            <v>1096</v>
          </cell>
          <cell r="H45">
            <v>-14370</v>
          </cell>
          <cell r="I45">
            <v>23436</v>
          </cell>
        </row>
        <row r="48">
          <cell r="B48">
            <v>-1374</v>
          </cell>
          <cell r="C48">
            <v>-4</v>
          </cell>
          <cell r="D48">
            <v>351</v>
          </cell>
          <cell r="E48">
            <v>2053</v>
          </cell>
          <cell r="F48">
            <v>657</v>
          </cell>
          <cell r="G48">
            <v>154</v>
          </cell>
          <cell r="H48">
            <v>-126</v>
          </cell>
        </row>
        <row r="52">
          <cell r="B52">
            <v>309</v>
          </cell>
          <cell r="C52">
            <v>223</v>
          </cell>
          <cell r="D52">
            <v>494</v>
          </cell>
          <cell r="E52">
            <v>3100</v>
          </cell>
          <cell r="F52">
            <v>663</v>
          </cell>
          <cell r="G52">
            <v>357</v>
          </cell>
          <cell r="H52">
            <v>-134</v>
          </cell>
          <cell r="I52">
            <v>5012</v>
          </cell>
        </row>
        <row r="58">
          <cell r="I58">
            <v>122</v>
          </cell>
        </row>
        <row r="61">
          <cell r="B61">
            <v>4305</v>
          </cell>
          <cell r="C61">
            <v>2768</v>
          </cell>
          <cell r="D61">
            <v>5192</v>
          </cell>
          <cell r="E61">
            <v>25961</v>
          </cell>
          <cell r="F61">
            <v>4445</v>
          </cell>
          <cell r="G61">
            <v>1897</v>
          </cell>
        </row>
        <row r="63">
          <cell r="H63">
            <v>1146</v>
          </cell>
        </row>
        <row r="71">
          <cell r="I71">
            <v>3649</v>
          </cell>
        </row>
      </sheetData>
      <sheetData sheetId="4">
        <row r="9">
          <cell r="B9">
            <v>5720</v>
          </cell>
          <cell r="C9">
            <v>1491</v>
          </cell>
          <cell r="D9">
            <v>684</v>
          </cell>
          <cell r="E9">
            <v>9327</v>
          </cell>
          <cell r="F9">
            <v>19226</v>
          </cell>
          <cell r="G9">
            <v>1106</v>
          </cell>
          <cell r="H9">
            <v>-13295</v>
          </cell>
        </row>
        <row r="25">
          <cell r="B25">
            <v>4101</v>
          </cell>
          <cell r="C25">
            <v>2569</v>
          </cell>
          <cell r="D25">
            <v>6123</v>
          </cell>
          <cell r="E25">
            <v>27589</v>
          </cell>
          <cell r="F25">
            <v>3373</v>
          </cell>
          <cell r="G25">
            <v>1936</v>
          </cell>
          <cell r="H25">
            <v>1066</v>
          </cell>
        </row>
        <row r="31">
          <cell r="B31">
            <v>492</v>
          </cell>
          <cell r="C31">
            <v>38</v>
          </cell>
          <cell r="D31">
            <v>243</v>
          </cell>
          <cell r="E31">
            <v>2699</v>
          </cell>
          <cell r="F31">
            <v>769</v>
          </cell>
          <cell r="G31">
            <v>133</v>
          </cell>
          <cell r="H31">
            <v>-114</v>
          </cell>
        </row>
        <row r="34">
          <cell r="B34">
            <v>739</v>
          </cell>
          <cell r="C34">
            <v>181</v>
          </cell>
          <cell r="D34">
            <v>419</v>
          </cell>
          <cell r="E34">
            <v>3821</v>
          </cell>
          <cell r="F34">
            <v>773</v>
          </cell>
          <cell r="G34">
            <v>332</v>
          </cell>
          <cell r="H34">
            <v>-123</v>
          </cell>
        </row>
        <row r="47">
          <cell r="B47">
            <v>5653</v>
          </cell>
          <cell r="C47">
            <v>1394</v>
          </cell>
          <cell r="D47">
            <v>688</v>
          </cell>
          <cell r="E47">
            <v>8589</v>
          </cell>
          <cell r="F47">
            <v>20386</v>
          </cell>
          <cell r="G47">
            <v>1096</v>
          </cell>
          <cell r="H47">
            <v>-14370</v>
          </cell>
        </row>
        <row r="69">
          <cell r="B69">
            <v>-1374</v>
          </cell>
          <cell r="C69">
            <v>-4</v>
          </cell>
          <cell r="D69">
            <v>351</v>
          </cell>
          <cell r="E69">
            <v>2053</v>
          </cell>
          <cell r="F69">
            <v>657</v>
          </cell>
          <cell r="G69">
            <v>154</v>
          </cell>
          <cell r="H69">
            <v>-126</v>
          </cell>
        </row>
        <row r="72">
          <cell r="B72">
            <v>309</v>
          </cell>
          <cell r="C72">
            <v>223</v>
          </cell>
          <cell r="D72">
            <v>494</v>
          </cell>
          <cell r="E72">
            <v>3100</v>
          </cell>
          <cell r="F72">
            <v>663</v>
          </cell>
          <cell r="G72">
            <v>357</v>
          </cell>
          <cell r="H72">
            <v>-134</v>
          </cell>
        </row>
      </sheetData>
      <sheetData sheetId="5"/>
      <sheetData sheetId="6">
        <row r="9">
          <cell r="B9">
            <v>1808</v>
          </cell>
          <cell r="C9">
            <v>279</v>
          </cell>
          <cell r="D9">
            <v>178</v>
          </cell>
          <cell r="E9">
            <v>3102</v>
          </cell>
          <cell r="F9">
            <v>6196</v>
          </cell>
          <cell r="G9">
            <v>367</v>
          </cell>
          <cell r="H9">
            <v>-4314</v>
          </cell>
        </row>
        <row r="12">
          <cell r="B12">
            <v>133</v>
          </cell>
          <cell r="C12">
            <v>-56</v>
          </cell>
          <cell r="D12">
            <v>42</v>
          </cell>
          <cell r="E12">
            <v>946</v>
          </cell>
          <cell r="F12">
            <v>195</v>
          </cell>
          <cell r="G12">
            <v>39</v>
          </cell>
          <cell r="H12">
            <v>-33</v>
          </cell>
        </row>
        <row r="16">
          <cell r="B16">
            <v>233</v>
          </cell>
          <cell r="C16">
            <v>-8</v>
          </cell>
          <cell r="D16">
            <v>101</v>
          </cell>
          <cell r="E16">
            <v>1324</v>
          </cell>
          <cell r="F16">
            <v>196</v>
          </cell>
          <cell r="G16">
            <v>109</v>
          </cell>
          <cell r="H16">
            <v>-37</v>
          </cell>
        </row>
        <row r="25">
          <cell r="B25">
            <v>175</v>
          </cell>
          <cell r="C25">
            <v>32</v>
          </cell>
          <cell r="D25">
            <v>119</v>
          </cell>
          <cell r="E25">
            <v>955</v>
          </cell>
          <cell r="F25">
            <v>1</v>
          </cell>
          <cell r="G25">
            <v>102</v>
          </cell>
        </row>
        <row r="38">
          <cell r="B38">
            <v>1870</v>
          </cell>
          <cell r="C38">
            <v>247</v>
          </cell>
          <cell r="D38">
            <v>176</v>
          </cell>
          <cell r="E38">
            <v>2875</v>
          </cell>
          <cell r="F38">
            <v>8374</v>
          </cell>
          <cell r="G38">
            <v>358</v>
          </cell>
          <cell r="H38">
            <v>-6153</v>
          </cell>
        </row>
        <row r="41">
          <cell r="B41">
            <v>120</v>
          </cell>
          <cell r="C41">
            <v>31</v>
          </cell>
          <cell r="D41">
            <v>77</v>
          </cell>
          <cell r="E41">
            <v>664</v>
          </cell>
          <cell r="F41">
            <v>45</v>
          </cell>
          <cell r="G41">
            <v>48</v>
          </cell>
          <cell r="H41">
            <v>-38</v>
          </cell>
        </row>
        <row r="45">
          <cell r="B45">
            <v>153</v>
          </cell>
          <cell r="C45">
            <v>57</v>
          </cell>
          <cell r="D45">
            <v>125</v>
          </cell>
          <cell r="E45">
            <v>1021</v>
          </cell>
          <cell r="F45">
            <v>49</v>
          </cell>
          <cell r="G45">
            <v>116</v>
          </cell>
          <cell r="H45">
            <v>-43</v>
          </cell>
        </row>
        <row r="54">
          <cell r="B54">
            <v>30</v>
          </cell>
          <cell r="C54">
            <v>39</v>
          </cell>
          <cell r="D54">
            <v>909</v>
          </cell>
          <cell r="E54">
            <v>764</v>
          </cell>
          <cell r="F54">
            <v>2</v>
          </cell>
          <cell r="G54">
            <v>46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segmenty_koszty_próba"/>
      <sheetName val="segmenty 3 m-ce PREZ"/>
      <sheetName val="segmenty 3 m-ce"/>
      <sheetName val="1_1"/>
      <sheetName val="18"/>
      <sheetName val="Nakłady inwesycyjne TW"/>
      <sheetName val="doszacowanie TD i TSy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Nakłady inwestycyjne TWD 2Q2022"/>
      <sheetName val="BD10"/>
      <sheetName val="BD11"/>
    </sheetNames>
    <sheetDataSet>
      <sheetData sheetId="0"/>
      <sheetData sheetId="1"/>
      <sheetData sheetId="2"/>
      <sheetData sheetId="3">
        <row r="9">
          <cell r="B9">
            <v>3912</v>
          </cell>
          <cell r="C9">
            <v>1212</v>
          </cell>
          <cell r="D9">
            <v>506</v>
          </cell>
          <cell r="E9">
            <v>6225</v>
          </cell>
          <cell r="F9">
            <v>13030</v>
          </cell>
          <cell r="G9">
            <v>739</v>
          </cell>
          <cell r="H9">
            <v>-8981</v>
          </cell>
        </row>
        <row r="12">
          <cell r="B12">
            <v>359</v>
          </cell>
          <cell r="C12">
            <v>94</v>
          </cell>
          <cell r="D12">
            <v>201</v>
          </cell>
          <cell r="E12">
            <v>1753</v>
          </cell>
          <cell r="F12">
            <v>574</v>
          </cell>
          <cell r="G12">
            <v>94</v>
          </cell>
          <cell r="H12">
            <v>-81</v>
          </cell>
        </row>
        <row r="16">
          <cell r="B16">
            <v>506</v>
          </cell>
          <cell r="C16">
            <v>189</v>
          </cell>
          <cell r="D16">
            <v>318</v>
          </cell>
          <cell r="E16">
            <v>2497</v>
          </cell>
          <cell r="F16">
            <v>577</v>
          </cell>
          <cell r="G16">
            <v>223</v>
          </cell>
          <cell r="H16">
            <v>-86</v>
          </cell>
        </row>
        <row r="25">
          <cell r="B25">
            <v>4036</v>
          </cell>
          <cell r="C25">
            <v>2944</v>
          </cell>
          <cell r="D25">
            <v>5946</v>
          </cell>
          <cell r="E25">
            <v>26950</v>
          </cell>
          <cell r="F25">
            <v>3392</v>
          </cell>
          <cell r="G25">
            <v>1890</v>
          </cell>
        </row>
        <row r="27">
          <cell r="H27">
            <v>1069</v>
          </cell>
        </row>
        <row r="35">
          <cell r="B35">
            <v>103</v>
          </cell>
          <cell r="C35">
            <v>48</v>
          </cell>
          <cell r="D35">
            <v>398</v>
          </cell>
          <cell r="E35">
            <v>1590</v>
          </cell>
          <cell r="F35">
            <v>1</v>
          </cell>
          <cell r="G35">
            <v>143</v>
          </cell>
        </row>
        <row r="45">
          <cell r="B45">
            <v>3783</v>
          </cell>
          <cell r="C45">
            <v>1147</v>
          </cell>
          <cell r="D45">
            <v>512</v>
          </cell>
          <cell r="E45">
            <v>5714</v>
          </cell>
          <cell r="F45">
            <v>12012</v>
          </cell>
          <cell r="G45">
            <v>738</v>
          </cell>
          <cell r="H45">
            <v>-8217</v>
          </cell>
        </row>
        <row r="48">
          <cell r="B48">
            <v>-1494</v>
          </cell>
          <cell r="C48">
            <v>-35</v>
          </cell>
          <cell r="D48">
            <v>274</v>
          </cell>
          <cell r="E48">
            <v>1389</v>
          </cell>
          <cell r="F48">
            <v>612</v>
          </cell>
          <cell r="G48">
            <v>106</v>
          </cell>
          <cell r="H48">
            <v>-88</v>
          </cell>
        </row>
        <row r="52">
          <cell r="B52">
            <v>156</v>
          </cell>
          <cell r="C52">
            <v>166</v>
          </cell>
          <cell r="D52">
            <v>369</v>
          </cell>
          <cell r="E52">
            <v>2079</v>
          </cell>
          <cell r="F52">
            <v>614</v>
          </cell>
          <cell r="G52">
            <v>241</v>
          </cell>
          <cell r="H52">
            <v>-91</v>
          </cell>
        </row>
        <row r="61">
          <cell r="B61">
            <v>4305</v>
          </cell>
          <cell r="C61">
            <v>2768</v>
          </cell>
          <cell r="D61">
            <v>5192</v>
          </cell>
          <cell r="E61">
            <v>25961</v>
          </cell>
          <cell r="F61">
            <v>4445</v>
          </cell>
          <cell r="G61">
            <v>1897</v>
          </cell>
        </row>
        <row r="63">
          <cell r="H63">
            <v>1146</v>
          </cell>
        </row>
        <row r="71">
          <cell r="B71">
            <v>40</v>
          </cell>
          <cell r="C71">
            <v>53</v>
          </cell>
          <cell r="D71">
            <v>232</v>
          </cell>
          <cell r="E71">
            <v>1400</v>
          </cell>
          <cell r="F71">
            <v>2</v>
          </cell>
          <cell r="G71">
            <v>132</v>
          </cell>
        </row>
      </sheetData>
      <sheetData sheetId="4">
        <row r="9">
          <cell r="I9">
            <v>16643</v>
          </cell>
        </row>
        <row r="19">
          <cell r="I19">
            <v>2055</v>
          </cell>
        </row>
        <row r="34">
          <cell r="I34">
            <v>4224</v>
          </cell>
        </row>
        <row r="37">
          <cell r="I37">
            <v>2283</v>
          </cell>
        </row>
        <row r="47">
          <cell r="I47">
            <v>15689</v>
          </cell>
        </row>
        <row r="57">
          <cell r="I57">
            <v>-515</v>
          </cell>
        </row>
        <row r="72">
          <cell r="I72">
            <v>3534</v>
          </cell>
        </row>
        <row r="75">
          <cell r="I75">
            <v>1859</v>
          </cell>
        </row>
      </sheetData>
      <sheetData sheetId="5"/>
      <sheetData sheetId="6">
        <row r="9">
          <cell r="B9">
            <v>1692</v>
          </cell>
          <cell r="C9">
            <v>399</v>
          </cell>
          <cell r="D9">
            <v>211</v>
          </cell>
          <cell r="E9">
            <v>3012</v>
          </cell>
          <cell r="F9">
            <v>6389</v>
          </cell>
          <cell r="G9">
            <v>370</v>
          </cell>
          <cell r="H9">
            <v>-4727</v>
          </cell>
          <cell r="I9">
            <v>7346</v>
          </cell>
        </row>
        <row r="12">
          <cell r="B12">
            <v>117</v>
          </cell>
          <cell r="C12">
            <v>4</v>
          </cell>
          <cell r="D12">
            <v>79</v>
          </cell>
          <cell r="E12">
            <v>894</v>
          </cell>
          <cell r="F12">
            <v>127</v>
          </cell>
          <cell r="G12">
            <v>56</v>
          </cell>
          <cell r="H12">
            <v>-41</v>
          </cell>
        </row>
        <row r="16">
          <cell r="B16">
            <v>211</v>
          </cell>
          <cell r="C16">
            <v>66</v>
          </cell>
          <cell r="D16">
            <v>138</v>
          </cell>
          <cell r="E16">
            <v>1271</v>
          </cell>
          <cell r="F16">
            <v>129</v>
          </cell>
          <cell r="G16">
            <v>121</v>
          </cell>
          <cell r="H16">
            <v>-43</v>
          </cell>
          <cell r="I16">
            <v>1893</v>
          </cell>
        </row>
        <row r="22">
          <cell r="I22">
            <v>924</v>
          </cell>
        </row>
        <row r="25">
          <cell r="B25">
            <v>80</v>
          </cell>
          <cell r="C25">
            <v>25</v>
          </cell>
          <cell r="D25">
            <v>207</v>
          </cell>
          <cell r="E25">
            <v>822</v>
          </cell>
          <cell r="F25">
            <v>0</v>
          </cell>
          <cell r="G25">
            <v>77</v>
          </cell>
          <cell r="I25">
            <v>1211</v>
          </cell>
        </row>
        <row r="38">
          <cell r="B38">
            <v>1615</v>
          </cell>
          <cell r="C38">
            <v>337</v>
          </cell>
          <cell r="D38">
            <v>220</v>
          </cell>
          <cell r="E38">
            <v>2876</v>
          </cell>
          <cell r="F38">
            <v>5210</v>
          </cell>
          <cell r="G38">
            <v>366</v>
          </cell>
          <cell r="H38">
            <v>-3419</v>
          </cell>
          <cell r="I38">
            <v>7205</v>
          </cell>
        </row>
        <row r="41">
          <cell r="B41">
            <v>-1596</v>
          </cell>
          <cell r="C41">
            <v>-138</v>
          </cell>
          <cell r="D41">
            <v>92</v>
          </cell>
          <cell r="E41">
            <v>715</v>
          </cell>
          <cell r="F41">
            <v>340</v>
          </cell>
          <cell r="G41">
            <v>63</v>
          </cell>
          <cell r="H41">
            <v>-42</v>
          </cell>
        </row>
        <row r="45">
          <cell r="B45">
            <v>-9</v>
          </cell>
          <cell r="C45">
            <v>31</v>
          </cell>
          <cell r="D45">
            <v>140</v>
          </cell>
          <cell r="E45">
            <v>1064</v>
          </cell>
          <cell r="F45">
            <v>341</v>
          </cell>
          <cell r="G45">
            <v>128</v>
          </cell>
          <cell r="H45">
            <v>-44</v>
          </cell>
          <cell r="I45">
            <v>1651</v>
          </cell>
        </row>
        <row r="51">
          <cell r="I51">
            <v>-1323</v>
          </cell>
        </row>
        <row r="54">
          <cell r="B54">
            <v>15</v>
          </cell>
          <cell r="C54">
            <v>33</v>
          </cell>
          <cell r="D54">
            <v>133</v>
          </cell>
          <cell r="E54">
            <v>743</v>
          </cell>
          <cell r="F54">
            <v>1</v>
          </cell>
          <cell r="G54">
            <v>87</v>
          </cell>
          <cell r="I54">
            <v>1012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"/>
      <sheetName val="segmenty"/>
      <sheetName val="1_1"/>
      <sheetName val="18"/>
      <sheetName val="Nakłady inwesycyjne TW"/>
      <sheetName val="przekształcenie Veolia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Nakłady inwestycyjne TWD 2Q2022"/>
      <sheetName val="BD10"/>
      <sheetName val="BD11"/>
    </sheetNames>
    <sheetDataSet>
      <sheetData sheetId="0"/>
      <sheetData sheetId="1"/>
      <sheetData sheetId="2"/>
      <sheetData sheetId="3">
        <row r="35">
          <cell r="B35">
            <v>23</v>
          </cell>
          <cell r="C35">
            <v>23</v>
          </cell>
          <cell r="D35">
            <v>191</v>
          </cell>
          <cell r="E35">
            <v>768</v>
          </cell>
          <cell r="F35">
            <v>1</v>
          </cell>
          <cell r="G35">
            <v>66</v>
          </cell>
        </row>
        <row r="71">
          <cell r="B71">
            <v>25</v>
          </cell>
          <cell r="C71">
            <v>20</v>
          </cell>
          <cell r="D71">
            <v>99</v>
          </cell>
          <cell r="E71">
            <v>657</v>
          </cell>
          <cell r="F71">
            <v>1</v>
          </cell>
          <cell r="G71">
            <v>45</v>
          </cell>
        </row>
      </sheetData>
      <sheetData sheetId="4">
        <row r="9">
          <cell r="B9">
            <v>2220</v>
          </cell>
          <cell r="C9">
            <v>813</v>
          </cell>
          <cell r="D9">
            <v>295</v>
          </cell>
          <cell r="E9">
            <v>3213</v>
          </cell>
          <cell r="F9">
            <v>6641</v>
          </cell>
          <cell r="G9">
            <v>369</v>
          </cell>
          <cell r="H9">
            <v>-4254</v>
          </cell>
          <cell r="I9">
            <v>9297</v>
          </cell>
        </row>
        <row r="19">
          <cell r="I19">
            <v>1131</v>
          </cell>
        </row>
        <row r="25">
          <cell r="B25">
            <v>4553</v>
          </cell>
          <cell r="C25">
            <v>2703</v>
          </cell>
          <cell r="D25">
            <v>5692</v>
          </cell>
          <cell r="E25">
            <v>26513</v>
          </cell>
          <cell r="F25">
            <v>6138</v>
          </cell>
          <cell r="G25">
            <v>1889</v>
          </cell>
          <cell r="H25">
            <v>1184</v>
          </cell>
        </row>
        <row r="31">
          <cell r="B31">
            <v>242</v>
          </cell>
          <cell r="C31">
            <v>90</v>
          </cell>
          <cell r="D31">
            <v>122</v>
          </cell>
          <cell r="E31">
            <v>859</v>
          </cell>
          <cell r="F31">
            <v>447</v>
          </cell>
          <cell r="G31">
            <v>38</v>
          </cell>
          <cell r="H31">
            <v>-40</v>
          </cell>
        </row>
        <row r="34">
          <cell r="B34">
            <v>295</v>
          </cell>
          <cell r="C34">
            <v>123</v>
          </cell>
          <cell r="D34">
            <v>180</v>
          </cell>
          <cell r="E34">
            <v>1226</v>
          </cell>
          <cell r="F34">
            <v>448</v>
          </cell>
          <cell r="G34">
            <v>102</v>
          </cell>
          <cell r="H34">
            <v>-43</v>
          </cell>
          <cell r="I34">
            <v>2331</v>
          </cell>
        </row>
        <row r="37">
          <cell r="I37">
            <v>1072</v>
          </cell>
        </row>
        <row r="47">
          <cell r="B47">
            <v>2168</v>
          </cell>
          <cell r="C47">
            <v>810</v>
          </cell>
          <cell r="D47">
            <v>292</v>
          </cell>
          <cell r="E47">
            <v>2838</v>
          </cell>
          <cell r="F47">
            <v>6802</v>
          </cell>
          <cell r="G47">
            <v>372</v>
          </cell>
          <cell r="H47">
            <v>-4798</v>
          </cell>
        </row>
        <row r="63">
          <cell r="B63">
            <v>4305</v>
          </cell>
          <cell r="C63">
            <v>2768</v>
          </cell>
          <cell r="D63">
            <v>5192</v>
          </cell>
          <cell r="E63">
            <v>25961</v>
          </cell>
          <cell r="F63">
            <v>4445</v>
          </cell>
          <cell r="G63">
            <v>1897</v>
          </cell>
          <cell r="H63">
            <v>1146</v>
          </cell>
        </row>
        <row r="69">
          <cell r="B69">
            <v>102</v>
          </cell>
          <cell r="C69">
            <v>103</v>
          </cell>
          <cell r="D69">
            <v>182</v>
          </cell>
          <cell r="E69">
            <v>674</v>
          </cell>
          <cell r="F69">
            <v>272</v>
          </cell>
          <cell r="G69">
            <v>43</v>
          </cell>
          <cell r="H69">
            <v>-46</v>
          </cell>
        </row>
        <row r="72">
          <cell r="B72">
            <v>165</v>
          </cell>
          <cell r="C72">
            <v>135</v>
          </cell>
          <cell r="D72">
            <v>229</v>
          </cell>
          <cell r="E72">
            <v>1015</v>
          </cell>
          <cell r="F72">
            <v>273</v>
          </cell>
          <cell r="G72">
            <v>113</v>
          </cell>
          <cell r="H72">
            <v>-47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C"/>
      <sheetName val="BIPMETAWS"/>
      <sheetName val="Settings"/>
      <sheetName val="segmenty prez CY"/>
      <sheetName val="segmenty prez PY"/>
      <sheetName val="segmenty"/>
      <sheetName val="1_1"/>
      <sheetName val="18"/>
      <sheetName val="Nakłady inwestycyjne TW"/>
      <sheetName val="RZS3 FIN_2"/>
      <sheetName val="BZ"/>
      <sheetName val="2_5"/>
      <sheetName val="BD1"/>
      <sheetName val="BD2"/>
      <sheetName val="BD3"/>
      <sheetName val="BD4"/>
      <sheetName val="BD5"/>
      <sheetName val="BD6"/>
      <sheetName val="WT_1_1"/>
      <sheetName val="BD7"/>
      <sheetName val="WT_2_5"/>
      <sheetName val="BD8"/>
      <sheetName val="Pochodne wycena"/>
      <sheetName val="BD9"/>
      <sheetName val="EUA"/>
      <sheetName val="MSSF5 RZS"/>
      <sheetName val="BD10"/>
      <sheetName val="2_5 2021"/>
      <sheetName val="BD14"/>
      <sheetName val="Arkusz1"/>
    </sheetNames>
    <sheetDataSet>
      <sheetData sheetId="0"/>
      <sheetData sheetId="1"/>
      <sheetData sheetId="2"/>
      <sheetData sheetId="3"/>
      <sheetData sheetId="4"/>
      <sheetData sheetId="5">
        <row r="9">
          <cell r="B9">
            <v>8215</v>
          </cell>
          <cell r="C9">
            <v>2193</v>
          </cell>
          <cell r="D9">
            <v>987</v>
          </cell>
          <cell r="E9">
            <v>11434</v>
          </cell>
          <cell r="F9">
            <v>27230</v>
          </cell>
          <cell r="G9">
            <v>1215</v>
          </cell>
          <cell r="H9">
            <v>-18739</v>
          </cell>
          <cell r="I9">
            <v>32535</v>
          </cell>
        </row>
        <row r="19">
          <cell r="I19">
            <v>590</v>
          </cell>
        </row>
        <row r="25">
          <cell r="B25">
            <v>4305</v>
          </cell>
          <cell r="C25">
            <v>2768</v>
          </cell>
          <cell r="D25">
            <v>5192</v>
          </cell>
          <cell r="E25">
            <v>25961</v>
          </cell>
          <cell r="F25">
            <v>5132</v>
          </cell>
          <cell r="G25">
            <v>1210</v>
          </cell>
          <cell r="H25">
            <v>1146</v>
          </cell>
        </row>
        <row r="31">
          <cell r="B31">
            <v>-1046</v>
          </cell>
          <cell r="C31">
            <v>161</v>
          </cell>
          <cell r="D31">
            <v>497</v>
          </cell>
          <cell r="E31">
            <v>2547</v>
          </cell>
          <cell r="F31">
            <v>547</v>
          </cell>
          <cell r="G31">
            <v>118</v>
          </cell>
          <cell r="H31">
            <v>-173</v>
          </cell>
        </row>
        <row r="34">
          <cell r="B34">
            <v>746</v>
          </cell>
          <cell r="C34">
            <v>302</v>
          </cell>
          <cell r="D34">
            <v>684</v>
          </cell>
          <cell r="E34">
            <v>3963</v>
          </cell>
          <cell r="F34">
            <v>598</v>
          </cell>
          <cell r="G34">
            <v>359</v>
          </cell>
          <cell r="H34">
            <v>-182</v>
          </cell>
          <cell r="I34">
            <v>6470</v>
          </cell>
        </row>
        <row r="37">
          <cell r="B37">
            <v>114</v>
          </cell>
          <cell r="C37">
            <v>135</v>
          </cell>
          <cell r="D37">
            <v>1514</v>
          </cell>
          <cell r="E37">
            <v>3103</v>
          </cell>
          <cell r="F37">
            <v>75</v>
          </cell>
          <cell r="G37">
            <v>186</v>
          </cell>
          <cell r="I37">
            <v>5127</v>
          </cell>
        </row>
        <row r="47">
          <cell r="B47">
            <v>11223</v>
          </cell>
          <cell r="C47">
            <v>2561</v>
          </cell>
          <cell r="D47">
            <v>750</v>
          </cell>
          <cell r="E47">
            <v>11155</v>
          </cell>
          <cell r="F47">
            <v>35188</v>
          </cell>
          <cell r="G47">
            <v>1118</v>
          </cell>
          <cell r="H47">
            <v>-20018</v>
          </cell>
          <cell r="I47">
            <v>41977</v>
          </cell>
        </row>
        <row r="57">
          <cell r="I57">
            <v>1128</v>
          </cell>
        </row>
        <row r="63">
          <cell r="B63">
            <v>7018</v>
          </cell>
          <cell r="C63">
            <v>2995</v>
          </cell>
          <cell r="D63">
            <v>3971</v>
          </cell>
          <cell r="E63">
            <v>24194</v>
          </cell>
          <cell r="F63">
            <v>7921</v>
          </cell>
          <cell r="G63">
            <v>1291</v>
          </cell>
          <cell r="H63">
            <v>1748</v>
          </cell>
        </row>
        <row r="69">
          <cell r="B69">
            <v>662</v>
          </cell>
          <cell r="C69">
            <v>-301</v>
          </cell>
          <cell r="D69">
            <v>261</v>
          </cell>
          <cell r="E69">
            <v>1630</v>
          </cell>
          <cell r="F69">
            <v>409</v>
          </cell>
          <cell r="G69">
            <v>82</v>
          </cell>
          <cell r="H69">
            <v>-29</v>
          </cell>
        </row>
        <row r="72">
          <cell r="B72">
            <v>1270</v>
          </cell>
          <cell r="C72">
            <v>123</v>
          </cell>
          <cell r="D72">
            <v>431</v>
          </cell>
          <cell r="E72">
            <v>2962</v>
          </cell>
          <cell r="F72">
            <v>454</v>
          </cell>
          <cell r="G72">
            <v>257</v>
          </cell>
          <cell r="H72">
            <v>-32</v>
          </cell>
          <cell r="I72">
            <v>5465</v>
          </cell>
        </row>
        <row r="75">
          <cell r="B75">
            <v>301</v>
          </cell>
          <cell r="C75">
            <v>273</v>
          </cell>
          <cell r="D75">
            <v>593</v>
          </cell>
          <cell r="E75">
            <v>2763</v>
          </cell>
          <cell r="F75">
            <v>109</v>
          </cell>
          <cell r="G75">
            <v>325</v>
          </cell>
          <cell r="I75">
            <v>4364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PQ31"/>
  <sheetViews>
    <sheetView zoomScale="85" zoomScaleNormal="85" workbookViewId="0">
      <selection activeCell="F30" sqref="F30"/>
    </sheetView>
  </sheetViews>
  <sheetFormatPr defaultColWidth="9.1796875" defaultRowHeight="14.5"/>
  <cols>
    <col min="1" max="1" width="56" style="10" customWidth="1"/>
    <col min="2" max="2" width="19.453125" style="10" customWidth="1"/>
    <col min="3" max="3" width="3" style="10" customWidth="1"/>
    <col min="4" max="4" width="14.81640625" style="10" customWidth="1"/>
    <col min="5" max="5" width="2.1796875" style="10" customWidth="1"/>
    <col min="6" max="6" width="14.81640625" style="10" customWidth="1"/>
    <col min="7" max="7" width="2.1796875" style="10" customWidth="1"/>
    <col min="8" max="8" width="14.81640625" style="10" customWidth="1"/>
    <col min="9" max="9" width="2.1796875" style="10" customWidth="1"/>
    <col min="10" max="10" width="14.81640625" style="10" customWidth="1"/>
    <col min="11" max="11" width="2.1796875" style="10" customWidth="1"/>
    <col min="12" max="12" width="14.81640625" style="71" customWidth="1"/>
    <col min="13" max="13" width="2.1796875" style="156" customWidth="1"/>
    <col min="14" max="14" width="13.81640625" style="337" customWidth="1"/>
    <col min="15" max="15" width="3" style="10" customWidth="1"/>
    <col min="16" max="16" width="19.453125" style="10" customWidth="1"/>
    <col min="17" max="17" width="3" style="10" customWidth="1"/>
    <col min="18" max="18" width="19.453125" style="10" customWidth="1"/>
    <col min="19" max="19" width="3" style="10" customWidth="1"/>
    <col min="20" max="20" width="19.453125" style="10" customWidth="1"/>
    <col min="21" max="21" width="3" style="10" customWidth="1"/>
    <col min="22" max="22" width="19.453125" style="10" customWidth="1"/>
    <col min="23" max="23" width="2.81640625" style="10" customWidth="1"/>
    <col min="24" max="24" width="19.453125" style="10" customWidth="1"/>
    <col min="25" max="25" width="2.54296875" style="10" customWidth="1"/>
    <col min="26" max="26" width="19.453125" style="10" customWidth="1"/>
    <col min="27" max="27" width="2.54296875" style="156" customWidth="1"/>
    <col min="28" max="28" width="19.453125" style="10" customWidth="1"/>
    <col min="29" max="29" width="2.54296875" style="10" customWidth="1"/>
    <col min="30" max="30" width="19.453125" style="10" customWidth="1"/>
    <col min="31" max="31" width="2.54296875" style="156" customWidth="1"/>
    <col min="32" max="32" width="13.81640625" style="71" customWidth="1"/>
    <col min="33" max="33" width="2.54296875" style="156" customWidth="1"/>
    <col min="34" max="34" width="13.81640625" style="337" customWidth="1"/>
    <col min="35" max="35" width="3.81640625" style="337" customWidth="1"/>
    <col min="36" max="36" width="13.81640625" style="71" customWidth="1"/>
    <col min="37" max="37" width="2.54296875" style="156" customWidth="1"/>
    <col min="38" max="38" width="13.81640625" style="337" customWidth="1"/>
    <col min="39" max="39" width="3.81640625" style="337" customWidth="1"/>
    <col min="40" max="40" width="13.81640625" style="71" customWidth="1"/>
    <col min="41" max="41" width="2.54296875" style="156" customWidth="1"/>
    <col min="42" max="42" width="13.81640625" style="337" customWidth="1"/>
    <col min="43" max="43" width="3.81640625" style="337" customWidth="1"/>
    <col min="44" max="44" width="13.81640625" style="71" customWidth="1"/>
    <col min="45" max="45" width="2.54296875" style="156" customWidth="1"/>
    <col min="46" max="46" width="13.81640625" style="337" customWidth="1"/>
    <col min="47" max="47" width="3.81640625" style="337" customWidth="1"/>
    <col min="48" max="48" width="13.81640625" style="71" customWidth="1"/>
    <col min="49" max="49" width="2.54296875" style="156" customWidth="1"/>
    <col min="50" max="50" width="13.81640625" style="337" customWidth="1"/>
    <col min="51" max="51" width="3.81640625" style="337" customWidth="1"/>
    <col min="52" max="52" width="13.81640625" style="71" customWidth="1"/>
    <col min="53" max="53" width="2.54296875" style="156" customWidth="1"/>
    <col min="54" max="54" width="13.81640625" style="337" customWidth="1"/>
    <col min="55" max="55" width="3.81640625" style="337" customWidth="1"/>
    <col min="56" max="56" width="13.81640625" style="71" customWidth="1"/>
    <col min="57" max="57" width="2.54296875" style="156" customWidth="1"/>
    <col min="58" max="58" width="13.81640625" style="71" customWidth="1"/>
    <col min="59" max="59" width="3.81640625" style="337" customWidth="1"/>
    <col min="60" max="60" width="13.81640625" style="71" customWidth="1"/>
    <col min="61" max="61" width="2.54296875" style="156" customWidth="1"/>
    <col min="62" max="62" width="13.81640625" style="337" customWidth="1"/>
    <col min="63" max="63" width="3.81640625" style="337" customWidth="1"/>
    <col min="64" max="64" width="13.81640625" style="71" customWidth="1"/>
    <col min="65" max="65" width="2.54296875" style="156" customWidth="1"/>
    <col min="66" max="66" width="13.81640625" style="71" customWidth="1"/>
    <col min="67" max="67" width="2.54296875" style="156" customWidth="1"/>
    <col min="68" max="68" width="13.81640625" style="71" customWidth="1"/>
    <col min="69" max="69" width="2.54296875" style="156" customWidth="1"/>
    <col min="70" max="70" width="13.81640625" style="337" customWidth="1"/>
    <col min="71" max="71" width="2.54296875" style="156" customWidth="1"/>
    <col min="72" max="72" width="13.81640625" style="71" customWidth="1"/>
    <col min="73" max="73" width="2.54296875" style="156" customWidth="1"/>
    <col min="74" max="74" width="13.81640625" style="337" customWidth="1"/>
    <col min="75" max="75" width="3.81640625" style="337" customWidth="1"/>
    <col min="76" max="76" width="13.81640625" style="71" customWidth="1"/>
    <col min="77" max="77" width="2.54296875" style="156" customWidth="1"/>
    <col min="78" max="78" width="13.81640625" style="337" customWidth="1"/>
    <col min="79" max="79" width="3.81640625" style="337" customWidth="1"/>
    <col min="80" max="80" width="13.81640625" style="71" customWidth="1"/>
    <col min="81" max="81" width="2.54296875" style="156" customWidth="1"/>
    <col min="82" max="82" width="13.81640625" style="337" customWidth="1"/>
    <col min="83" max="83" width="3.81640625" style="337" customWidth="1"/>
    <col min="84" max="84" width="13.81640625" style="71" customWidth="1"/>
    <col min="85" max="85" width="2.54296875" style="156" customWidth="1"/>
    <col min="86" max="86" width="13.81640625" style="337" customWidth="1"/>
    <col min="87" max="87" width="3.81640625" style="337" customWidth="1"/>
    <col min="88" max="88" width="13.81640625" style="71" customWidth="1"/>
    <col min="89" max="89" width="2.54296875" style="156" customWidth="1"/>
    <col min="90" max="90" width="13.81640625" style="337" customWidth="1"/>
    <col min="91" max="91" width="3.81640625" style="337" customWidth="1"/>
    <col min="92" max="92" width="13.81640625" style="71" customWidth="1"/>
    <col min="93" max="93" width="2.54296875" style="156" customWidth="1"/>
    <col min="94" max="94" width="13.81640625" style="337" customWidth="1"/>
    <col min="95" max="95" width="3.81640625" style="337" customWidth="1"/>
    <col min="96" max="96" width="13.81640625" style="71" customWidth="1"/>
    <col min="97" max="97" width="2.54296875" style="156" customWidth="1"/>
    <col min="98" max="98" width="13.81640625" style="337" customWidth="1"/>
    <col min="99" max="99" width="3.81640625" style="337" customWidth="1"/>
    <col min="100" max="100" width="13.81640625" style="71" customWidth="1"/>
    <col min="101" max="101" width="2.54296875" style="156" customWidth="1"/>
    <col min="102" max="102" width="13.81640625" style="337" customWidth="1"/>
    <col min="103" max="103" width="3.81640625" style="337" customWidth="1"/>
    <col min="104" max="104" width="13.81640625" style="71" customWidth="1"/>
    <col min="105" max="105" width="2.54296875" style="156" customWidth="1"/>
    <col min="106" max="106" width="13.81640625" style="337" customWidth="1"/>
    <col min="107" max="107" width="3.81640625" style="337" customWidth="1"/>
    <col min="108" max="108" width="13.81640625" style="71" customWidth="1"/>
    <col min="109" max="109" width="2.54296875" style="156" customWidth="1"/>
    <col min="110" max="110" width="13.81640625" style="337" customWidth="1"/>
    <col min="111" max="111" width="3.81640625" style="337" customWidth="1"/>
    <col min="112" max="112" width="13.81640625" style="71" customWidth="1"/>
    <col min="113" max="113" width="2.54296875" style="156" customWidth="1"/>
    <col min="114" max="114" width="13.81640625" style="337" customWidth="1"/>
    <col min="115" max="115" width="3.81640625" style="337" customWidth="1"/>
    <col min="116" max="116" width="13.81640625" style="71" customWidth="1"/>
    <col min="117" max="117" width="2.54296875" style="156" customWidth="1"/>
    <col min="118" max="118" width="13.81640625" style="337" customWidth="1"/>
    <col min="119" max="119" width="3.81640625" style="337" customWidth="1"/>
    <col min="120" max="120" width="13.81640625" style="71" customWidth="1"/>
    <col min="121" max="121" width="2.54296875" style="156" customWidth="1"/>
    <col min="122" max="122" width="13.81640625" style="337" customWidth="1"/>
    <col min="123" max="123" width="3.81640625" style="337" customWidth="1"/>
    <col min="124" max="124" width="13.81640625" style="71" customWidth="1"/>
    <col min="125" max="125" width="2.54296875" style="156" customWidth="1"/>
    <col min="126" max="126" width="13.81640625" style="337" customWidth="1"/>
    <col min="127" max="127" width="3.81640625" style="337" customWidth="1"/>
    <col min="128" max="128" width="13.81640625" style="71" customWidth="1"/>
    <col min="129" max="129" width="2.54296875" style="156" customWidth="1"/>
    <col min="130" max="130" width="13.81640625" style="337" customWidth="1"/>
    <col min="131" max="131" width="3.81640625" style="337" customWidth="1"/>
    <col min="132" max="132" width="13.81640625" style="71" customWidth="1"/>
    <col min="133" max="133" width="2.54296875" style="156" customWidth="1"/>
    <col min="134" max="134" width="13.81640625" style="337" customWidth="1"/>
    <col min="135" max="135" width="3.81640625" style="337" customWidth="1"/>
    <col min="136" max="136" width="13.81640625" style="71" customWidth="1"/>
    <col min="137" max="137" width="2.54296875" style="156" customWidth="1"/>
    <col min="138" max="138" width="13.81640625" style="337" customWidth="1"/>
    <col min="139" max="139" width="3.81640625" style="337" customWidth="1"/>
    <col min="140" max="140" width="13.81640625" style="71" customWidth="1"/>
    <col min="141" max="141" width="2.54296875" style="156" customWidth="1"/>
    <col min="142" max="142" width="13.81640625" style="337" customWidth="1"/>
    <col min="143" max="143" width="3.81640625" style="337" customWidth="1"/>
    <col min="144" max="144" width="13.81640625" style="71" customWidth="1"/>
    <col min="145" max="145" width="2.54296875" style="156" customWidth="1"/>
    <col min="146" max="146" width="13.81640625" style="337" customWidth="1"/>
    <col min="147" max="147" width="3.81640625" style="337" customWidth="1"/>
    <col min="148" max="148" width="13.81640625" style="71" customWidth="1"/>
    <col min="149" max="149" width="2.54296875" style="156" customWidth="1"/>
    <col min="150" max="150" width="13.81640625" style="337" customWidth="1"/>
    <col min="151" max="151" width="3.81640625" style="337" customWidth="1"/>
    <col min="152" max="152" width="13.81640625" style="71" customWidth="1"/>
    <col min="153" max="153" width="2.54296875" style="156" customWidth="1"/>
    <col min="154" max="154" width="13.81640625" style="337" customWidth="1"/>
    <col min="155" max="155" width="3.81640625" style="337" customWidth="1"/>
    <col min="156" max="156" width="13.81640625" style="71" customWidth="1"/>
    <col min="157" max="157" width="2.54296875" style="156" customWidth="1"/>
    <col min="158" max="158" width="13.81640625" style="337" customWidth="1"/>
    <col min="159" max="159" width="3.81640625" style="337" customWidth="1"/>
    <col min="160" max="160" width="13.81640625" style="71" customWidth="1"/>
    <col min="161" max="161" width="2.54296875" style="156" customWidth="1"/>
    <col min="162" max="162" width="13.81640625" style="337" customWidth="1"/>
    <col min="163" max="163" width="3.81640625" style="10" customWidth="1"/>
    <col min="164" max="164" width="13.81640625" style="71" customWidth="1"/>
    <col min="165" max="165" width="2.54296875" style="156" customWidth="1"/>
    <col min="166" max="166" width="13.81640625" style="337" customWidth="1"/>
    <col min="167" max="167" width="3.81640625" style="337" customWidth="1"/>
    <col min="168" max="168" width="13.81640625" style="71" customWidth="1"/>
    <col min="169" max="169" width="2.54296875" style="156" customWidth="1"/>
    <col min="170" max="170" width="13.81640625" style="337" customWidth="1"/>
    <col min="171" max="171" width="3.81640625" style="10" customWidth="1"/>
    <col min="172" max="172" width="13.81640625" style="71" customWidth="1"/>
    <col min="173" max="173" width="2.54296875" style="156" customWidth="1"/>
    <col min="174" max="174" width="13.81640625" style="337" customWidth="1"/>
    <col min="175" max="175" width="3.81640625" style="337" customWidth="1"/>
    <col min="176" max="176" width="13.81640625" style="71" customWidth="1"/>
    <col min="177" max="177" width="2.54296875" style="156" customWidth="1"/>
    <col min="178" max="178" width="13.81640625" style="337" customWidth="1"/>
    <col min="179" max="179" width="3.81640625" style="337" customWidth="1"/>
    <col min="180" max="180" width="13.81640625" style="71" customWidth="1"/>
    <col min="181" max="181" width="2.54296875" style="156" customWidth="1"/>
    <col min="182" max="182" width="13.81640625" style="337" customWidth="1"/>
    <col min="183" max="183" width="3.81640625" style="337" customWidth="1"/>
    <col min="184" max="184" width="13.81640625" style="337" customWidth="1"/>
    <col min="185" max="185" width="2" style="337" customWidth="1"/>
    <col min="186" max="186" width="13.81640625" style="337" customWidth="1"/>
    <col min="187" max="187" width="3.1796875" style="337" customWidth="1"/>
    <col min="188" max="188" width="13.81640625" style="337" customWidth="1"/>
    <col min="189" max="189" width="2.1796875" style="337" customWidth="1"/>
    <col min="190" max="190" width="13.81640625" style="337" customWidth="1"/>
    <col min="191" max="191" width="8.453125" style="337" customWidth="1"/>
    <col min="192" max="192" width="13.81640625" style="337" customWidth="1"/>
    <col min="193" max="193" width="2" style="337" customWidth="1"/>
    <col min="194" max="194" width="13.81640625" style="337" customWidth="1"/>
    <col min="195" max="195" width="3.1796875" style="337" customWidth="1"/>
    <col min="196" max="196" width="13.81640625" style="337" customWidth="1"/>
    <col min="197" max="197" width="2.1796875" style="337" customWidth="1"/>
    <col min="198" max="198" width="13.81640625" style="337" customWidth="1"/>
    <col min="199" max="199" width="8.453125" style="337" customWidth="1"/>
    <col min="200" max="200" width="2.1796875" style="337" customWidth="1"/>
    <col min="201" max="201" width="13.81640625" style="337" customWidth="1"/>
    <col min="202" max="202" width="2" style="337" customWidth="1"/>
    <col min="203" max="203" width="13.81640625" style="337" customWidth="1"/>
    <col min="204" max="204" width="3.1796875" style="337" customWidth="1"/>
    <col min="205" max="205" width="13.81640625" style="337" customWidth="1"/>
    <col min="206" max="206" width="2.1796875" style="337" customWidth="1"/>
    <col min="207" max="207" width="13.81640625" style="337" customWidth="1"/>
    <col min="208" max="208" width="4.1796875" style="337" customWidth="1"/>
    <col min="209" max="209" width="13.81640625" style="337" customWidth="1"/>
    <col min="210" max="210" width="2.54296875" style="337" customWidth="1"/>
    <col min="211" max="211" width="13.81640625" style="337" customWidth="1"/>
    <col min="212" max="212" width="8.453125" style="337" customWidth="1"/>
    <col min="213" max="213" width="13.81640625" style="337" customWidth="1"/>
    <col min="214" max="214" width="2.81640625" style="337" customWidth="1"/>
    <col min="215" max="215" width="13.81640625" style="337" customWidth="1"/>
    <col min="216" max="216" width="3.453125" style="337" customWidth="1"/>
    <col min="217" max="217" width="13.81640625" style="337" customWidth="1"/>
    <col min="218" max="218" width="2.81640625" style="337" customWidth="1"/>
    <col min="219" max="219" width="13.81640625" style="337" customWidth="1"/>
    <col min="220" max="220" width="2.1796875" style="337" customWidth="1"/>
    <col min="221" max="221" width="13.81640625" style="337" customWidth="1"/>
    <col min="222" max="222" width="2.81640625" style="337" customWidth="1"/>
    <col min="223" max="223" width="13.81640625" style="337" customWidth="1"/>
    <col min="224" max="224" width="3.453125" style="337" customWidth="1"/>
    <col min="225" max="225" width="13.81640625" style="337" customWidth="1"/>
    <col min="226" max="226" width="2.81640625" style="337" customWidth="1"/>
    <col min="227" max="227" width="13.81640625" style="337" customWidth="1"/>
    <col min="228" max="228" width="8.81640625" style="10" customWidth="1"/>
    <col min="229" max="229" width="13.81640625" style="156" customWidth="1"/>
    <col min="230" max="230" width="2.81640625" style="156" customWidth="1"/>
    <col min="231" max="231" width="13.81640625" style="156" customWidth="1"/>
    <col min="232" max="232" width="2.1796875" style="156" customWidth="1"/>
    <col min="233" max="233" width="13.81640625" style="156" customWidth="1"/>
    <col min="234" max="234" width="2.81640625" style="156" customWidth="1"/>
    <col min="235" max="235" width="13.81640625" style="156" customWidth="1"/>
    <col min="236" max="236" width="6.54296875" style="156" customWidth="1"/>
    <col min="237" max="237" width="13.81640625" style="156" customWidth="1"/>
    <col min="238" max="238" width="2.54296875" style="156" customWidth="1"/>
    <col min="239" max="239" width="13.81640625" style="156" customWidth="1"/>
    <col min="240" max="240" width="10.81640625" style="10" customWidth="1"/>
    <col min="241" max="241" width="12.81640625" style="10" customWidth="1"/>
    <col min="242" max="242" width="2.81640625" style="10" customWidth="1"/>
    <col min="243" max="243" width="12.81640625" style="10" customWidth="1"/>
    <col min="244" max="244" width="2.81640625" style="10" customWidth="1"/>
    <col min="245" max="245" width="13.81640625" style="10" customWidth="1"/>
    <col min="246" max="246" width="2.81640625" style="10" customWidth="1"/>
    <col min="247" max="247" width="13.81640625" style="10" customWidth="1"/>
    <col min="248" max="248" width="9.54296875" style="10" customWidth="1"/>
    <col min="249" max="249" width="13.81640625" style="10" customWidth="1"/>
    <col min="250" max="250" width="2.81640625" style="10" customWidth="1"/>
    <col min="251" max="251" width="13.81640625" style="10" customWidth="1"/>
    <col min="252" max="252" width="2.81640625" style="10" customWidth="1"/>
    <col min="253" max="253" width="12.81640625" style="10" customWidth="1"/>
    <col min="254" max="254" width="2.81640625" style="10" customWidth="1"/>
    <col min="255" max="255" width="12.81640625" style="10" customWidth="1"/>
    <col min="256" max="256" width="5.81640625" style="10" customWidth="1"/>
    <col min="257" max="257" width="13.81640625" style="10" customWidth="1"/>
    <col min="258" max="258" width="2.81640625" style="10" customWidth="1"/>
    <col min="259" max="259" width="13.81640625" style="10" customWidth="1"/>
    <col min="260" max="260" width="2.81640625" style="10" customWidth="1"/>
    <col min="261" max="261" width="13.81640625" style="10" customWidth="1"/>
    <col min="262" max="262" width="2.81640625" style="10" customWidth="1"/>
    <col min="263" max="263" width="13.81640625" style="10" customWidth="1"/>
    <col min="264" max="264" width="6.81640625" style="10" customWidth="1"/>
    <col min="265" max="265" width="13.81640625" style="10" customWidth="1"/>
    <col min="266" max="266" width="2.81640625" style="10" customWidth="1"/>
    <col min="267" max="267" width="13.81640625" style="10" customWidth="1"/>
    <col min="268" max="268" width="2.81640625" style="10" customWidth="1"/>
    <col min="269" max="269" width="13.81640625" style="10" customWidth="1"/>
    <col min="270" max="270" width="2.81640625" style="10" customWidth="1"/>
    <col min="271" max="271" width="13.81640625" style="10" customWidth="1"/>
    <col min="272" max="273" width="2.81640625" style="10" customWidth="1"/>
    <col min="274" max="274" width="10.81640625" style="10" customWidth="1"/>
    <col min="275" max="275" width="2.81640625" style="10" customWidth="1"/>
    <col min="276" max="277" width="10.81640625" style="10" customWidth="1"/>
    <col min="278" max="278" width="13.1796875" style="10" customWidth="1"/>
    <col min="279" max="279" width="2.81640625" style="10" customWidth="1"/>
    <col min="280" max="280" width="12" style="10" customWidth="1"/>
    <col min="281" max="282" width="2.81640625" style="10" customWidth="1"/>
    <col min="283" max="283" width="10.81640625" style="10" customWidth="1"/>
    <col min="284" max="284" width="2.81640625" style="10" customWidth="1"/>
    <col min="285" max="285" width="10.81640625" style="10" customWidth="1"/>
    <col min="286" max="287" width="3" style="10" customWidth="1"/>
    <col min="288" max="288" width="12.81640625" style="10" customWidth="1"/>
    <col min="289" max="289" width="2.81640625" style="10" customWidth="1"/>
    <col min="290" max="290" width="12.54296875" style="10" customWidth="1"/>
    <col min="291" max="292" width="2.81640625" style="10" customWidth="1"/>
    <col min="293" max="293" width="9.1796875" style="10"/>
    <col min="294" max="294" width="2.81640625" style="10" customWidth="1"/>
    <col min="295" max="295" width="9.1796875" style="10"/>
    <col min="296" max="296" width="4.1796875" style="10" customWidth="1"/>
    <col min="297" max="297" width="9.1796875" style="10"/>
    <col min="298" max="298" width="2.81640625" style="10" customWidth="1"/>
    <col min="299" max="299" width="9.1796875" style="10"/>
    <col min="300" max="300" width="4.81640625" style="10" customWidth="1"/>
    <col min="301" max="301" width="10.1796875" style="10" customWidth="1"/>
    <col min="302" max="302" width="2.81640625" style="10" customWidth="1"/>
    <col min="303" max="303" width="10.1796875" style="10" customWidth="1"/>
    <col min="304" max="304" width="2.81640625" style="10" customWidth="1"/>
    <col min="305" max="305" width="10.1796875" style="10" customWidth="1"/>
    <col min="306" max="306" width="2.81640625" style="10" customWidth="1"/>
    <col min="307" max="307" width="9.1796875" style="10"/>
    <col min="308" max="308" width="2.81640625" style="10" customWidth="1"/>
    <col min="309" max="309" width="10.1796875" style="10" customWidth="1"/>
    <col min="310" max="310" width="2.81640625" style="10" customWidth="1"/>
    <col min="311" max="311" width="10.1796875" style="10" customWidth="1"/>
    <col min="312" max="312" width="2.81640625" style="10" customWidth="1"/>
    <col min="313" max="313" width="9.1796875" style="10"/>
    <col min="314" max="314" width="2.81640625" style="10" customWidth="1"/>
    <col min="315" max="315" width="9.1796875" style="10"/>
    <col min="316" max="316" width="2.81640625" style="10" customWidth="1"/>
    <col min="317" max="317" width="9.1796875" style="10"/>
    <col min="318" max="318" width="2.81640625" style="10" customWidth="1"/>
    <col min="319" max="319" width="9.1796875" style="10"/>
    <col min="320" max="320" width="2.81640625" style="10" customWidth="1"/>
    <col min="321" max="321" width="9.1796875" style="10"/>
    <col min="322" max="322" width="2.81640625" style="10" customWidth="1"/>
    <col min="323" max="323" width="9.1796875" style="10"/>
    <col min="324" max="324" width="2.81640625" style="10" customWidth="1"/>
    <col min="325" max="325" width="9.1796875" style="10"/>
    <col min="326" max="326" width="2.81640625" style="10" customWidth="1"/>
    <col min="327" max="327" width="9.1796875" style="10"/>
    <col min="328" max="328" width="2.81640625" style="10" customWidth="1"/>
    <col min="329" max="329" width="10.1796875" style="10" customWidth="1"/>
    <col min="330" max="330" width="2.81640625" style="10" customWidth="1"/>
    <col min="331" max="331" width="10.1796875" style="10" customWidth="1"/>
    <col min="332" max="332" width="2.81640625" style="10" customWidth="1"/>
    <col min="333" max="333" width="9.1796875" style="10"/>
    <col min="334" max="334" width="2.81640625" style="10" customWidth="1"/>
    <col min="335" max="335" width="9.1796875" style="10"/>
    <col min="336" max="336" width="2.81640625" style="10" customWidth="1"/>
    <col min="337" max="337" width="10.1796875" style="10" customWidth="1"/>
    <col min="338" max="338" width="2.81640625" style="10" customWidth="1"/>
    <col min="339" max="339" width="10.1796875" style="10" customWidth="1"/>
    <col min="340" max="340" width="2.81640625" style="10" customWidth="1"/>
    <col min="341" max="341" width="9.1796875" style="10"/>
    <col min="342" max="342" width="2.81640625" style="10" customWidth="1"/>
    <col min="343" max="343" width="9.1796875" style="10"/>
    <col min="344" max="344" width="2.81640625" style="10" customWidth="1"/>
    <col min="345" max="345" width="9.1796875" style="10"/>
    <col min="346" max="346" width="2.81640625" style="10" customWidth="1"/>
    <col min="347" max="347" width="9.1796875" style="10"/>
    <col min="348" max="348" width="2.81640625" style="10" customWidth="1"/>
    <col min="349" max="349" width="9.1796875" style="10"/>
    <col min="350" max="350" width="2.81640625" style="10" customWidth="1"/>
    <col min="351" max="351" width="9.1796875" style="10"/>
    <col min="352" max="352" width="2.81640625" style="10" customWidth="1"/>
    <col min="353" max="353" width="9.1796875" style="10"/>
    <col min="354" max="354" width="2.81640625" style="10" customWidth="1"/>
    <col min="355" max="16384" width="9.1796875" style="10"/>
  </cols>
  <sheetData>
    <row r="1" spans="1:433" ht="20">
      <c r="A1" s="1" t="s">
        <v>372</v>
      </c>
      <c r="B1" s="2"/>
      <c r="C1" s="3"/>
      <c r="D1" s="3"/>
      <c r="E1" s="3"/>
      <c r="F1" s="3"/>
      <c r="G1" s="3"/>
      <c r="H1" s="3"/>
      <c r="I1" s="3"/>
      <c r="J1" s="3"/>
      <c r="K1" s="3"/>
      <c r="L1" s="87" t="s">
        <v>913</v>
      </c>
      <c r="M1" s="178"/>
      <c r="N1" s="350" t="s">
        <v>913</v>
      </c>
      <c r="O1" s="3"/>
      <c r="P1" s="684" t="s">
        <v>913</v>
      </c>
      <c r="Q1" s="685"/>
      <c r="R1" s="686" t="s">
        <v>913</v>
      </c>
      <c r="S1" s="685"/>
      <c r="T1" s="684" t="s">
        <v>913</v>
      </c>
      <c r="U1" s="685"/>
      <c r="V1" s="686" t="s">
        <v>913</v>
      </c>
      <c r="W1" s="178"/>
      <c r="X1" s="87" t="s">
        <v>913</v>
      </c>
      <c r="Y1" s="178"/>
      <c r="Z1" s="350" t="s">
        <v>913</v>
      </c>
      <c r="AA1" s="178"/>
      <c r="AB1" s="87" t="s">
        <v>913</v>
      </c>
      <c r="AC1" s="178"/>
      <c r="AD1" s="350" t="s">
        <v>913</v>
      </c>
      <c r="AE1" s="178"/>
      <c r="AF1" s="87" t="s">
        <v>913</v>
      </c>
      <c r="AG1" s="178"/>
      <c r="AH1" s="350" t="s">
        <v>913</v>
      </c>
      <c r="AI1" s="350"/>
      <c r="AJ1" s="87" t="s">
        <v>913</v>
      </c>
      <c r="AK1" s="178"/>
      <c r="AL1" s="350" t="s">
        <v>913</v>
      </c>
      <c r="AM1" s="350"/>
      <c r="AN1" s="87" t="s">
        <v>913</v>
      </c>
      <c r="AO1" s="178"/>
      <c r="AP1" s="350" t="s">
        <v>913</v>
      </c>
      <c r="AQ1" s="350"/>
      <c r="AR1" s="87" t="s">
        <v>913</v>
      </c>
      <c r="AS1" s="178"/>
      <c r="AT1" s="350" t="s">
        <v>913</v>
      </c>
      <c r="AU1" s="350"/>
      <c r="AV1" s="87" t="s">
        <v>913</v>
      </c>
      <c r="AW1" s="178"/>
      <c r="AX1" s="350" t="s">
        <v>913</v>
      </c>
      <c r="AY1" s="350"/>
      <c r="AZ1" s="87"/>
      <c r="BA1" s="178"/>
      <c r="BB1" s="350"/>
      <c r="BC1" s="350"/>
      <c r="BD1" s="87"/>
      <c r="BE1" s="178"/>
      <c r="BF1" s="87"/>
      <c r="BG1" s="350"/>
      <c r="BH1" s="87"/>
      <c r="BI1" s="178"/>
      <c r="BJ1" s="350"/>
      <c r="BK1" s="350"/>
      <c r="BL1" s="87"/>
      <c r="BM1" s="178"/>
      <c r="BN1" s="87"/>
      <c r="BO1" s="178"/>
      <c r="BP1" s="87"/>
      <c r="BQ1" s="178"/>
      <c r="BR1" s="350"/>
      <c r="BS1" s="178"/>
      <c r="BT1" s="87"/>
      <c r="BU1" s="178"/>
      <c r="BV1" s="350"/>
      <c r="BW1" s="350"/>
      <c r="BX1" s="87"/>
      <c r="BY1" s="178"/>
      <c r="BZ1" s="350"/>
      <c r="CA1" s="350"/>
      <c r="CB1" s="87"/>
      <c r="CC1" s="178"/>
      <c r="CD1" s="350"/>
      <c r="CE1" s="350"/>
      <c r="CF1" s="87"/>
      <c r="CG1" s="178"/>
      <c r="CH1" s="350"/>
      <c r="CI1" s="350"/>
      <c r="CJ1" s="87"/>
      <c r="CK1" s="178"/>
      <c r="CL1" s="350"/>
      <c r="CM1" s="350"/>
      <c r="CN1" s="87"/>
      <c r="CO1" s="178"/>
      <c r="CP1" s="350"/>
      <c r="CQ1" s="350"/>
      <c r="CR1" s="87"/>
      <c r="CS1" s="178"/>
      <c r="CT1" s="350"/>
      <c r="CU1" s="350"/>
      <c r="CV1" s="87"/>
      <c r="CW1" s="178"/>
      <c r="CX1" s="350"/>
      <c r="CY1" s="350"/>
      <c r="CZ1" s="87"/>
      <c r="DA1" s="178"/>
      <c r="DB1" s="350"/>
      <c r="DC1" s="350"/>
      <c r="DD1" s="87"/>
      <c r="DE1" s="178"/>
      <c r="DF1" s="350"/>
      <c r="DG1" s="350"/>
      <c r="DH1" s="87"/>
      <c r="DI1" s="178"/>
      <c r="DJ1" s="350"/>
      <c r="DK1" s="350"/>
      <c r="DL1" s="87"/>
      <c r="DM1" s="178"/>
      <c r="DN1" s="350"/>
      <c r="DO1" s="350"/>
      <c r="DP1" s="87"/>
      <c r="DQ1" s="178"/>
      <c r="DR1" s="350"/>
      <c r="DS1" s="350"/>
      <c r="DT1" s="87"/>
      <c r="DU1" s="178"/>
      <c r="DV1" s="350"/>
      <c r="DW1" s="350"/>
      <c r="DX1" s="87"/>
      <c r="DY1" s="178"/>
      <c r="DZ1" s="350"/>
      <c r="EA1" s="350"/>
      <c r="EB1" s="87"/>
      <c r="EC1" s="178"/>
      <c r="ED1" s="350"/>
      <c r="EE1" s="350"/>
      <c r="EF1" s="87"/>
      <c r="EG1" s="178"/>
      <c r="EH1" s="350"/>
      <c r="EI1" s="350"/>
      <c r="EJ1" s="87"/>
      <c r="EK1" s="178"/>
      <c r="EL1" s="350"/>
      <c r="EM1" s="350"/>
      <c r="EN1" s="87"/>
      <c r="EO1" s="178"/>
      <c r="EP1" s="350"/>
      <c r="EQ1" s="350"/>
      <c r="ER1" s="87"/>
      <c r="ES1" s="178"/>
      <c r="ET1" s="350"/>
      <c r="EU1" s="350"/>
      <c r="EV1" s="87"/>
      <c r="EW1" s="178"/>
      <c r="EX1" s="350"/>
      <c r="EY1" s="350"/>
      <c r="EZ1" s="87"/>
      <c r="FA1" s="178"/>
      <c r="FB1" s="350"/>
      <c r="FC1" s="350"/>
      <c r="FD1" s="87"/>
      <c r="FE1" s="178"/>
      <c r="FF1" s="350"/>
      <c r="FG1" s="3"/>
      <c r="FH1" s="87"/>
      <c r="FI1" s="178"/>
      <c r="FJ1" s="350"/>
      <c r="FK1" s="350"/>
      <c r="FL1" s="87"/>
      <c r="FM1" s="178"/>
      <c r="FN1" s="350"/>
      <c r="FO1" s="3"/>
      <c r="FP1" s="87"/>
      <c r="FQ1" s="178"/>
      <c r="FR1" s="350"/>
      <c r="FS1" s="350"/>
      <c r="FT1" s="87"/>
      <c r="FU1" s="178"/>
      <c r="FV1" s="350"/>
      <c r="FW1" s="350"/>
      <c r="FX1" s="87"/>
      <c r="FY1" s="178"/>
      <c r="FZ1" s="350"/>
      <c r="GA1" s="350"/>
      <c r="GB1" s="350"/>
      <c r="GC1" s="370"/>
      <c r="GD1" s="350"/>
      <c r="GE1" s="350"/>
      <c r="GF1" s="350"/>
      <c r="GG1" s="370"/>
      <c r="GH1" s="350"/>
      <c r="GI1" s="350"/>
      <c r="GJ1" s="350"/>
      <c r="GK1" s="370"/>
      <c r="GL1" s="350"/>
      <c r="GM1" s="350"/>
      <c r="GN1" s="350"/>
      <c r="GO1" s="370"/>
      <c r="GP1" s="350"/>
      <c r="GQ1" s="350"/>
      <c r="GR1" s="350"/>
      <c r="GS1" s="350"/>
      <c r="GT1" s="370"/>
      <c r="GU1" s="350"/>
      <c r="GV1" s="350"/>
      <c r="GW1" s="350"/>
      <c r="GX1" s="370"/>
      <c r="GY1" s="350"/>
      <c r="GZ1" s="350"/>
      <c r="HA1" s="350"/>
      <c r="HB1" s="370"/>
      <c r="HC1" s="350"/>
      <c r="HD1" s="350"/>
      <c r="HE1" s="350"/>
      <c r="HF1" s="370"/>
      <c r="HG1" s="350"/>
      <c r="HH1" s="350"/>
      <c r="HI1" s="350"/>
      <c r="HJ1" s="370"/>
      <c r="HK1" s="350"/>
      <c r="HL1" s="350"/>
      <c r="HM1" s="350"/>
      <c r="HN1" s="370"/>
      <c r="HO1" s="350"/>
      <c r="HP1" s="350"/>
      <c r="HQ1" s="350"/>
      <c r="HR1" s="370"/>
      <c r="HS1" s="350"/>
      <c r="HT1" s="3"/>
      <c r="HU1" s="153"/>
      <c r="HV1" s="178"/>
      <c r="HW1" s="153"/>
      <c r="HX1" s="153"/>
      <c r="HY1" s="153"/>
      <c r="HZ1" s="178"/>
      <c r="IA1" s="153"/>
      <c r="IB1" s="153"/>
      <c r="IC1" s="153"/>
      <c r="ID1" s="178"/>
      <c r="IE1" s="153"/>
      <c r="IF1" s="3"/>
      <c r="IG1" s="3"/>
      <c r="IH1" s="4"/>
      <c r="II1" s="3"/>
      <c r="IJ1" s="3"/>
      <c r="IK1" s="3"/>
      <c r="IL1" s="4"/>
      <c r="IM1" s="3"/>
      <c r="IN1" s="3"/>
      <c r="IO1" s="3"/>
      <c r="IP1" s="4"/>
      <c r="IQ1" s="3"/>
      <c r="IR1" s="3"/>
      <c r="IS1" s="3"/>
      <c r="IT1" s="4"/>
      <c r="IU1" s="3"/>
      <c r="IV1" s="3"/>
      <c r="IW1" s="3"/>
      <c r="IX1" s="4"/>
      <c r="IY1" s="3"/>
      <c r="IZ1" s="3"/>
      <c r="JA1" s="3"/>
      <c r="JB1" s="4"/>
      <c r="JC1" s="3"/>
      <c r="JD1" s="3"/>
      <c r="JE1" s="3"/>
      <c r="JF1" s="4"/>
      <c r="JG1" s="3"/>
      <c r="JH1" s="3"/>
      <c r="JI1" s="3"/>
      <c r="JJ1" s="4"/>
      <c r="JK1" s="3"/>
      <c r="JL1" s="3"/>
      <c r="JM1" s="3"/>
      <c r="JN1" s="3"/>
      <c r="JO1" s="4"/>
      <c r="JP1" s="3"/>
      <c r="JQ1" s="3"/>
      <c r="JR1" s="3"/>
      <c r="JS1" s="4"/>
      <c r="JT1" s="3"/>
      <c r="JU1" s="3"/>
      <c r="JV1" s="3"/>
      <c r="JW1" s="3"/>
      <c r="JX1" s="4"/>
      <c r="JY1" s="3"/>
      <c r="JZ1" s="3"/>
      <c r="KA1" s="3"/>
      <c r="KB1" s="3"/>
      <c r="KC1" s="4"/>
      <c r="KD1" s="3"/>
      <c r="KE1" s="3"/>
      <c r="KF1" s="3"/>
      <c r="KG1" s="3"/>
      <c r="KH1" s="4"/>
      <c r="KI1" s="3"/>
      <c r="KJ1" s="3"/>
      <c r="KK1" s="3"/>
      <c r="KL1" s="4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4"/>
      <c r="KY1" s="3"/>
      <c r="KZ1" s="4"/>
      <c r="LA1" s="3"/>
      <c r="LB1" s="4"/>
      <c r="LC1" s="3"/>
      <c r="LD1" s="4"/>
      <c r="LE1" s="3"/>
      <c r="LF1" s="4"/>
      <c r="LG1" s="3"/>
      <c r="LH1" s="4"/>
      <c r="LI1" s="3"/>
      <c r="LJ1" s="4"/>
      <c r="LK1" s="3"/>
      <c r="LL1" s="4"/>
      <c r="LM1" s="3"/>
      <c r="LN1" s="4"/>
      <c r="LO1" s="3"/>
      <c r="LP1" s="4"/>
      <c r="LQ1" s="5"/>
      <c r="LR1" s="4"/>
      <c r="LS1" s="5"/>
      <c r="LT1" s="4"/>
      <c r="LU1" s="5"/>
      <c r="LV1" s="4"/>
      <c r="LW1" s="5"/>
      <c r="LX1" s="5"/>
      <c r="LY1" s="5"/>
      <c r="LZ1" s="5"/>
      <c r="MA1" s="5"/>
      <c r="MB1" s="5"/>
      <c r="MC1" s="5"/>
      <c r="MD1" s="5"/>
      <c r="ME1" s="5"/>
      <c r="MF1" s="5"/>
      <c r="MG1" s="6"/>
      <c r="MH1" s="5"/>
      <c r="MI1" s="5"/>
      <c r="MJ1" s="5"/>
      <c r="MK1" s="6"/>
      <c r="ML1" s="5"/>
      <c r="MM1" s="5"/>
      <c r="MN1" s="5"/>
      <c r="MO1" s="6"/>
      <c r="MP1" s="5"/>
      <c r="MQ1" s="5"/>
    </row>
    <row r="2" spans="1:433" ht="35.25" customHeight="1">
      <c r="A2" s="7"/>
      <c r="B2" s="8" t="s">
        <v>946</v>
      </c>
      <c r="C2" s="4"/>
      <c r="D2" s="729" t="s">
        <v>1027</v>
      </c>
      <c r="E2" s="156"/>
      <c r="F2" s="730" t="s">
        <v>924</v>
      </c>
      <c r="G2" s="731"/>
      <c r="H2" s="729" t="s">
        <v>1022</v>
      </c>
      <c r="I2" s="156"/>
      <c r="J2" s="730" t="s">
        <v>899</v>
      </c>
      <c r="K2" s="731"/>
      <c r="L2" s="345" t="s">
        <v>1000</v>
      </c>
      <c r="N2" s="361" t="s">
        <v>900</v>
      </c>
      <c r="O2" s="4"/>
      <c r="P2" s="682" t="s">
        <v>984</v>
      </c>
      <c r="Q2" s="156"/>
      <c r="R2" s="683" t="s">
        <v>912</v>
      </c>
      <c r="S2" s="156"/>
      <c r="T2" s="682" t="s">
        <v>897</v>
      </c>
      <c r="U2" s="156"/>
      <c r="V2" s="683" t="s">
        <v>836</v>
      </c>
      <c r="W2" s="156"/>
      <c r="X2" s="345" t="s">
        <v>937</v>
      </c>
      <c r="Y2" s="156"/>
      <c r="Z2" s="361" t="s">
        <v>843</v>
      </c>
      <c r="AB2" s="345" t="s">
        <v>898</v>
      </c>
      <c r="AC2" s="156"/>
      <c r="AD2" s="361" t="s">
        <v>835</v>
      </c>
      <c r="AF2" s="345" t="s">
        <v>924</v>
      </c>
      <c r="AH2" s="361" t="s">
        <v>833</v>
      </c>
      <c r="AI2" s="371"/>
      <c r="AJ2" s="345" t="s">
        <v>899</v>
      </c>
      <c r="AL2" s="361" t="s">
        <v>834</v>
      </c>
      <c r="AM2" s="371"/>
      <c r="AN2" s="345" t="s">
        <v>900</v>
      </c>
      <c r="AP2" s="361" t="s">
        <v>825</v>
      </c>
      <c r="AQ2" s="371"/>
      <c r="AR2" s="345" t="s">
        <v>912</v>
      </c>
      <c r="AT2" s="361" t="s">
        <v>811</v>
      </c>
      <c r="AU2" s="371"/>
      <c r="AV2" s="345" t="s">
        <v>836</v>
      </c>
      <c r="AX2" s="361" t="s">
        <v>774</v>
      </c>
      <c r="AY2" s="371"/>
      <c r="AZ2" s="345" t="s">
        <v>843</v>
      </c>
      <c r="BB2" s="361" t="s">
        <v>796</v>
      </c>
      <c r="BC2" s="371"/>
      <c r="BD2" s="345" t="s">
        <v>835</v>
      </c>
      <c r="BF2" s="361" t="s">
        <v>775</v>
      </c>
      <c r="BG2" s="371"/>
      <c r="BH2" s="345" t="s">
        <v>833</v>
      </c>
      <c r="BJ2" s="361" t="s">
        <v>781</v>
      </c>
      <c r="BK2" s="371"/>
      <c r="BL2" s="345" t="s">
        <v>834</v>
      </c>
      <c r="BN2" s="361" t="s">
        <v>776</v>
      </c>
      <c r="BP2" s="345" t="s">
        <v>825</v>
      </c>
      <c r="BR2" s="361" t="s">
        <v>773</v>
      </c>
      <c r="BT2" s="345" t="s">
        <v>811</v>
      </c>
      <c r="BV2" s="361" t="s">
        <v>749</v>
      </c>
      <c r="BW2" s="371"/>
      <c r="BX2" s="345" t="s">
        <v>774</v>
      </c>
      <c r="BZ2" s="361" t="s">
        <v>704</v>
      </c>
      <c r="CA2" s="371"/>
      <c r="CB2" s="345" t="s">
        <v>796</v>
      </c>
      <c r="CD2" s="361" t="s">
        <v>720</v>
      </c>
      <c r="CE2" s="371"/>
      <c r="CF2" s="345" t="s">
        <v>775</v>
      </c>
      <c r="CH2" s="361" t="s">
        <v>703</v>
      </c>
      <c r="CI2" s="371"/>
      <c r="CJ2" s="345" t="s">
        <v>781</v>
      </c>
      <c r="CL2" s="361" t="s">
        <v>701</v>
      </c>
      <c r="CM2" s="371"/>
      <c r="CN2" s="345" t="s">
        <v>776</v>
      </c>
      <c r="CP2" s="361" t="s">
        <v>702</v>
      </c>
      <c r="CQ2" s="371"/>
      <c r="CR2" s="345" t="s">
        <v>773</v>
      </c>
      <c r="CT2" s="361" t="s">
        <v>692</v>
      </c>
      <c r="CU2" s="371"/>
      <c r="CV2" s="345" t="s">
        <v>749</v>
      </c>
      <c r="CX2" s="361" t="s">
        <v>660</v>
      </c>
      <c r="CY2" s="371"/>
      <c r="CZ2" s="345" t="s">
        <v>704</v>
      </c>
      <c r="DB2" s="361" t="s">
        <v>623</v>
      </c>
      <c r="DC2" s="371"/>
      <c r="DD2" s="345" t="s">
        <v>720</v>
      </c>
      <c r="DF2" s="361" t="s">
        <v>646</v>
      </c>
      <c r="DG2" s="371"/>
      <c r="DH2" s="345" t="s">
        <v>703</v>
      </c>
      <c r="DJ2" s="361" t="s">
        <v>624</v>
      </c>
      <c r="DK2" s="371"/>
      <c r="DL2" s="345" t="s">
        <v>701</v>
      </c>
      <c r="DN2" s="361" t="s">
        <v>633</v>
      </c>
      <c r="DO2" s="371"/>
      <c r="DP2" s="345" t="s">
        <v>702</v>
      </c>
      <c r="DR2" s="361" t="s">
        <v>634</v>
      </c>
      <c r="DS2" s="371"/>
      <c r="DT2" s="345" t="s">
        <v>692</v>
      </c>
      <c r="DV2" s="361" t="s">
        <v>622</v>
      </c>
      <c r="DW2" s="371"/>
      <c r="DX2" s="345" t="s">
        <v>660</v>
      </c>
      <c r="DZ2" s="361" t="s">
        <v>604</v>
      </c>
      <c r="EA2" s="371"/>
      <c r="EB2" s="345" t="s">
        <v>623</v>
      </c>
      <c r="ED2" s="361" t="s">
        <v>606</v>
      </c>
      <c r="EE2" s="371"/>
      <c r="EF2" s="345" t="s">
        <v>646</v>
      </c>
      <c r="EH2" s="361" t="s">
        <v>592</v>
      </c>
      <c r="EI2" s="371"/>
      <c r="EJ2" s="345" t="s">
        <v>624</v>
      </c>
      <c r="EL2" s="361" t="s">
        <v>593</v>
      </c>
      <c r="EM2" s="371"/>
      <c r="EN2" s="345" t="s">
        <v>633</v>
      </c>
      <c r="EP2" s="361" t="s">
        <v>582</v>
      </c>
      <c r="EQ2" s="371"/>
      <c r="ER2" s="345" t="s">
        <v>634</v>
      </c>
      <c r="ET2" s="361" t="s">
        <v>581</v>
      </c>
      <c r="EU2" s="371"/>
      <c r="EV2" s="345" t="s">
        <v>622</v>
      </c>
      <c r="EX2" s="361" t="s">
        <v>572</v>
      </c>
      <c r="EY2" s="371"/>
      <c r="EZ2" s="345" t="s">
        <v>604</v>
      </c>
      <c r="FB2" s="361" t="s">
        <v>605</v>
      </c>
      <c r="FC2" s="371"/>
      <c r="FD2" s="345" t="s">
        <v>606</v>
      </c>
      <c r="FF2" s="361" t="s">
        <v>571</v>
      </c>
      <c r="FG2" s="8"/>
      <c r="FH2" s="345" t="s">
        <v>592</v>
      </c>
      <c r="FJ2" s="361" t="s">
        <v>547</v>
      </c>
      <c r="FK2" s="371"/>
      <c r="FL2" s="345" t="s">
        <v>593</v>
      </c>
      <c r="FN2" s="361" t="s">
        <v>557</v>
      </c>
      <c r="FO2" s="8"/>
      <c r="FP2" s="345" t="s">
        <v>582</v>
      </c>
      <c r="FR2" s="361" t="s">
        <v>583</v>
      </c>
      <c r="FS2" s="371"/>
      <c r="FT2" s="345" t="s">
        <v>581</v>
      </c>
      <c r="FV2" s="361" t="s">
        <v>544</v>
      </c>
      <c r="FW2" s="371"/>
      <c r="FX2" s="345" t="s">
        <v>572</v>
      </c>
      <c r="FZ2" s="361" t="s">
        <v>531</v>
      </c>
      <c r="GA2" s="371"/>
      <c r="GB2" s="351">
        <v>2019</v>
      </c>
      <c r="GD2" s="351">
        <v>2018</v>
      </c>
      <c r="GE2" s="370"/>
      <c r="GF2" s="351" t="s">
        <v>562</v>
      </c>
      <c r="GH2" s="351" t="s">
        <v>563</v>
      </c>
      <c r="GI2" s="371"/>
      <c r="GJ2" s="361" t="s">
        <v>547</v>
      </c>
      <c r="GL2" s="361" t="s">
        <v>496</v>
      </c>
      <c r="GM2" s="370"/>
      <c r="GN2" s="361" t="s">
        <v>548</v>
      </c>
      <c r="GP2" s="361" t="s">
        <v>497</v>
      </c>
      <c r="GQ2" s="370"/>
      <c r="GR2" s="370"/>
      <c r="GS2" s="361" t="s">
        <v>535</v>
      </c>
      <c r="GU2" s="361" t="s">
        <v>434</v>
      </c>
      <c r="GV2" s="370"/>
      <c r="GW2" s="361" t="s">
        <v>534</v>
      </c>
      <c r="GY2" s="361" t="s">
        <v>435</v>
      </c>
      <c r="GZ2" s="370"/>
      <c r="HA2" s="361" t="s">
        <v>525</v>
      </c>
      <c r="HC2" s="361" t="s">
        <v>277</v>
      </c>
      <c r="HD2" s="370"/>
      <c r="HE2" s="361">
        <v>2018</v>
      </c>
      <c r="HG2" s="361">
        <v>2017</v>
      </c>
      <c r="HH2" s="370"/>
      <c r="HI2" s="361" t="s">
        <v>513</v>
      </c>
      <c r="HK2" s="361" t="s">
        <v>437</v>
      </c>
      <c r="HL2" s="370"/>
      <c r="HM2" s="361" t="s">
        <v>496</v>
      </c>
      <c r="HO2" s="361" t="s">
        <v>325</v>
      </c>
      <c r="HP2" s="370"/>
      <c r="HQ2" s="361" t="s">
        <v>497</v>
      </c>
      <c r="HS2" s="361" t="s">
        <v>281</v>
      </c>
      <c r="HT2" s="4"/>
      <c r="HU2" s="150" t="s">
        <v>434</v>
      </c>
      <c r="HW2" s="150" t="s">
        <v>296</v>
      </c>
      <c r="HX2" s="178"/>
      <c r="HY2" s="150" t="s">
        <v>435</v>
      </c>
      <c r="IA2" s="150" t="s">
        <v>283</v>
      </c>
      <c r="IB2" s="178"/>
      <c r="IC2" s="151" t="s">
        <v>277</v>
      </c>
      <c r="IE2" s="150" t="s">
        <v>278</v>
      </c>
      <c r="IF2" s="134"/>
      <c r="IG2" s="151">
        <v>2017</v>
      </c>
      <c r="IH2" s="156"/>
      <c r="II2" s="150">
        <v>2016</v>
      </c>
      <c r="IJ2" s="178"/>
      <c r="IK2" s="151" t="s">
        <v>279</v>
      </c>
      <c r="IL2" s="156"/>
      <c r="IM2" s="150" t="s">
        <v>280</v>
      </c>
      <c r="IN2" s="178"/>
      <c r="IO2" s="151" t="s">
        <v>281</v>
      </c>
      <c r="IP2" s="156"/>
      <c r="IQ2" s="150" t="s">
        <v>282</v>
      </c>
      <c r="IR2" s="178"/>
      <c r="IS2" s="151" t="s">
        <v>294</v>
      </c>
      <c r="IT2" s="156"/>
      <c r="IU2" s="150" t="s">
        <v>295</v>
      </c>
      <c r="IV2" s="178"/>
      <c r="IW2" s="151" t="s">
        <v>296</v>
      </c>
      <c r="IX2" s="156"/>
      <c r="IY2" s="150" t="s">
        <v>297</v>
      </c>
      <c r="IZ2" s="178"/>
      <c r="JA2" s="151" t="s">
        <v>283</v>
      </c>
      <c r="JB2" s="156"/>
      <c r="JC2" s="150" t="s">
        <v>284</v>
      </c>
      <c r="JD2" s="178"/>
      <c r="JE2" s="151" t="s">
        <v>278</v>
      </c>
      <c r="JF2" s="156"/>
      <c r="JG2" s="150" t="s">
        <v>298</v>
      </c>
      <c r="JH2" s="178"/>
      <c r="JI2" s="151">
        <v>2016</v>
      </c>
      <c r="JJ2" s="156"/>
      <c r="JK2" s="150">
        <v>2015</v>
      </c>
      <c r="JL2" s="178"/>
      <c r="JM2" s="178"/>
      <c r="JN2" s="151" t="s">
        <v>280</v>
      </c>
      <c r="JO2" s="184"/>
      <c r="JP2" s="150" t="s">
        <v>299</v>
      </c>
      <c r="JQ2" s="185"/>
      <c r="JR2" s="151" t="s">
        <v>300</v>
      </c>
      <c r="JS2" s="156"/>
      <c r="JT2" s="150" t="s">
        <v>301</v>
      </c>
      <c r="JU2" s="178"/>
      <c r="JV2" s="178"/>
      <c r="JW2" s="151" t="s">
        <v>302</v>
      </c>
      <c r="JX2" s="184"/>
      <c r="JY2" s="150" t="s">
        <v>303</v>
      </c>
      <c r="JZ2" s="178"/>
      <c r="KA2" s="178"/>
      <c r="KB2" s="151" t="s">
        <v>304</v>
      </c>
      <c r="KC2" s="184"/>
      <c r="KD2" s="150" t="s">
        <v>305</v>
      </c>
      <c r="KE2" s="178"/>
      <c r="KF2" s="178"/>
      <c r="KG2" s="151" t="s">
        <v>306</v>
      </c>
      <c r="KH2" s="184"/>
      <c r="KI2" s="150" t="s">
        <v>307</v>
      </c>
      <c r="KJ2" s="178"/>
      <c r="KK2" s="151" t="s">
        <v>308</v>
      </c>
      <c r="KL2" s="184"/>
      <c r="KM2" s="150" t="s">
        <v>309</v>
      </c>
      <c r="KN2" s="178"/>
      <c r="KO2" s="150">
        <v>2015</v>
      </c>
      <c r="KP2" s="178"/>
      <c r="KQ2" s="150">
        <v>2014</v>
      </c>
      <c r="KR2" s="178"/>
      <c r="KS2" s="150" t="s">
        <v>299</v>
      </c>
      <c r="KT2" s="184"/>
      <c r="KU2" s="150" t="s">
        <v>288</v>
      </c>
      <c r="KV2" s="178"/>
      <c r="KW2" s="150" t="s">
        <v>301</v>
      </c>
      <c r="KX2" s="156"/>
      <c r="KY2" s="150" t="s">
        <v>310</v>
      </c>
      <c r="KZ2" s="184"/>
      <c r="LA2" s="150" t="s">
        <v>311</v>
      </c>
      <c r="LB2" s="184"/>
      <c r="LC2" s="150" t="s">
        <v>312</v>
      </c>
      <c r="LD2" s="184"/>
      <c r="LE2" s="150" t="s">
        <v>313</v>
      </c>
      <c r="LF2" s="184"/>
      <c r="LG2" s="150" t="s">
        <v>286</v>
      </c>
      <c r="LH2" s="184"/>
      <c r="LI2" s="150" t="s">
        <v>314</v>
      </c>
      <c r="LJ2" s="184"/>
      <c r="LK2" s="150" t="s">
        <v>292</v>
      </c>
      <c r="LL2" s="184"/>
      <c r="LM2" s="150" t="s">
        <v>315</v>
      </c>
      <c r="LN2" s="184"/>
      <c r="LO2" s="150" t="s">
        <v>316</v>
      </c>
      <c r="LP2" s="184"/>
      <c r="LQ2" s="150">
        <v>2014</v>
      </c>
      <c r="LR2" s="184"/>
      <c r="LS2" s="150">
        <v>2013</v>
      </c>
      <c r="LT2" s="184"/>
      <c r="LU2" s="150" t="s">
        <v>288</v>
      </c>
      <c r="LV2" s="156"/>
      <c r="LW2" s="150" t="s">
        <v>289</v>
      </c>
      <c r="LX2" s="178"/>
      <c r="LY2" s="150" t="s">
        <v>310</v>
      </c>
      <c r="LZ2" s="156"/>
      <c r="MA2" s="150" t="s">
        <v>317</v>
      </c>
      <c r="MB2" s="156"/>
      <c r="MC2" s="150" t="s">
        <v>312</v>
      </c>
      <c r="MD2" s="156"/>
      <c r="ME2" s="150" t="s">
        <v>291</v>
      </c>
      <c r="MF2" s="156"/>
      <c r="MG2" s="150" t="s">
        <v>286</v>
      </c>
      <c r="MH2" s="156"/>
      <c r="MI2" s="150" t="s">
        <v>287</v>
      </c>
      <c r="MJ2" s="156"/>
      <c r="MK2" s="150" t="s">
        <v>292</v>
      </c>
      <c r="ML2" s="156"/>
      <c r="MM2" s="150" t="s">
        <v>318</v>
      </c>
      <c r="MN2" s="156"/>
      <c r="MO2" s="150" t="s">
        <v>316</v>
      </c>
      <c r="MP2" s="156"/>
      <c r="MQ2" s="150" t="s">
        <v>319</v>
      </c>
      <c r="MR2" s="156"/>
      <c r="MS2" s="156"/>
      <c r="MT2" s="156"/>
      <c r="MU2" s="156"/>
      <c r="MV2" s="156"/>
      <c r="MW2" s="156"/>
      <c r="MX2" s="156"/>
      <c r="MY2" s="156"/>
      <c r="MZ2" s="156"/>
      <c r="NA2" s="156"/>
      <c r="NB2" s="156"/>
      <c r="NC2" s="156"/>
      <c r="ND2" s="156"/>
      <c r="NE2" s="156"/>
      <c r="NF2" s="156"/>
      <c r="NG2" s="156"/>
      <c r="NH2" s="156"/>
      <c r="NI2" s="156"/>
      <c r="NJ2" s="156"/>
      <c r="NK2" s="156"/>
      <c r="NL2" s="156"/>
      <c r="NM2" s="156"/>
      <c r="NN2" s="156"/>
      <c r="NO2" s="156"/>
      <c r="NP2" s="156"/>
      <c r="NQ2" s="156"/>
      <c r="NR2" s="156"/>
      <c r="NS2" s="156"/>
      <c r="NT2" s="156"/>
      <c r="NU2" s="156"/>
      <c r="NV2" s="156"/>
      <c r="NW2" s="156"/>
      <c r="NX2" s="156"/>
      <c r="NY2" s="156"/>
      <c r="NZ2" s="156"/>
      <c r="OA2" s="156"/>
      <c r="OB2" s="156"/>
      <c r="OC2" s="156"/>
      <c r="OD2" s="156"/>
      <c r="OE2" s="156"/>
      <c r="OF2" s="156"/>
      <c r="OG2" s="156"/>
      <c r="OH2" s="156"/>
      <c r="OI2" s="156"/>
      <c r="OJ2" s="156"/>
      <c r="OK2" s="156"/>
      <c r="OL2" s="156"/>
      <c r="OM2" s="156"/>
      <c r="ON2" s="156"/>
      <c r="OO2" s="156"/>
      <c r="OP2" s="156"/>
      <c r="OQ2" s="156"/>
      <c r="OR2" s="156"/>
      <c r="OS2" s="156"/>
      <c r="OT2" s="156"/>
      <c r="OU2" s="156"/>
      <c r="OV2" s="156"/>
      <c r="OW2" s="156"/>
      <c r="OX2" s="156"/>
      <c r="OY2" s="156"/>
      <c r="OZ2" s="156"/>
      <c r="PA2" s="156"/>
      <c r="PB2" s="156"/>
      <c r="PC2" s="156"/>
      <c r="PD2" s="156"/>
      <c r="PE2" s="156"/>
      <c r="PF2" s="156"/>
      <c r="PG2" s="156"/>
      <c r="PH2" s="156"/>
      <c r="PI2" s="156"/>
      <c r="PJ2" s="156"/>
      <c r="PK2" s="156"/>
      <c r="PL2" s="156"/>
      <c r="PM2" s="156"/>
      <c r="PN2" s="156"/>
      <c r="PO2" s="156"/>
      <c r="PP2" s="156"/>
      <c r="PQ2" s="156"/>
    </row>
    <row r="3" spans="1:433">
      <c r="A3" s="11" t="s">
        <v>46</v>
      </c>
      <c r="B3" s="12" t="s">
        <v>369</v>
      </c>
      <c r="C3" s="13"/>
      <c r="D3" s="732">
        <f>('[3]segmenty prez'!$I$9)*1000</f>
        <v>17201000</v>
      </c>
      <c r="E3" s="735"/>
      <c r="F3" s="732">
        <f>('[3]segmenty prez'!$I$48)*1000</f>
        <v>16643000</v>
      </c>
      <c r="G3" s="13"/>
      <c r="H3" s="732">
        <f>('[3]segmenty 3 m-ce PREZ'!$I$9)*1000</f>
        <v>7694000</v>
      </c>
      <c r="I3" s="13"/>
      <c r="J3" s="732">
        <f>('[3]segmenty 3 m-ce PREZ'!$I$41)*1000</f>
        <v>7346000</v>
      </c>
      <c r="K3" s="13"/>
      <c r="L3" s="732">
        <f>('[4]segmenty prez'!$I$9)*1000</f>
        <v>9507000</v>
      </c>
      <c r="M3" s="733"/>
      <c r="N3" s="734">
        <f>AN3</f>
        <v>9297000</v>
      </c>
      <c r="O3" s="13"/>
      <c r="P3" s="732">
        <f>[5]segmenty!$I$7*1000</f>
        <v>33277000</v>
      </c>
      <c r="Q3" s="13"/>
      <c r="R3" s="693">
        <f>[5]segmenty!$I$47*1000</f>
        <v>32535000</v>
      </c>
      <c r="S3" s="13"/>
      <c r="T3" s="687">
        <f>SUM('Segmenty_Segment''s results'!W4:W11)</f>
        <v>9018000</v>
      </c>
      <c r="U3" s="13"/>
      <c r="V3" s="693">
        <f>SUM('Segmenty_Segment''s results'!W16:W23)</f>
        <v>9099000</v>
      </c>
      <c r="W3" s="13"/>
      <c r="X3" s="346">
        <f>'[6]segmenty prez'!$I$9*1000</f>
        <v>24259000</v>
      </c>
      <c r="Y3" s="166"/>
      <c r="Z3" s="372">
        <f>'[6]segmenty prez'!$I$45*1000</f>
        <v>23436000</v>
      </c>
      <c r="AA3" s="166"/>
      <c r="AB3" s="346" t="e">
        <f>#REF!*1000</f>
        <v>#REF!</v>
      </c>
      <c r="AC3" s="166"/>
      <c r="AD3" s="372" t="e">
        <f>#REF!*1000</f>
        <v>#REF!</v>
      </c>
      <c r="AE3" s="166"/>
      <c r="AF3" s="346">
        <f>[7]segmenty!$I$9*1000</f>
        <v>16643000</v>
      </c>
      <c r="AG3" s="166"/>
      <c r="AH3" s="372">
        <f>[7]segmenty!$I$47*1000</f>
        <v>15689000</v>
      </c>
      <c r="AI3" s="373"/>
      <c r="AJ3" s="346">
        <f>'[7]segmenty 3 m-ce PREZ'!$I$9*1000</f>
        <v>7346000</v>
      </c>
      <c r="AK3" s="166"/>
      <c r="AL3" s="372">
        <f>'[7]segmenty 3 m-ce PREZ'!$I$38*1000</f>
        <v>7205000</v>
      </c>
      <c r="AM3" s="373"/>
      <c r="AN3" s="346">
        <f>[8]segmenty!$I$9*1000</f>
        <v>9297000</v>
      </c>
      <c r="AO3" s="166"/>
      <c r="AP3" s="372">
        <f>BP3</f>
        <v>8142000</v>
      </c>
      <c r="AQ3" s="373"/>
      <c r="AR3" s="346">
        <f>[9]segmenty!$I$9*1000</f>
        <v>32535000</v>
      </c>
      <c r="AS3" s="166"/>
      <c r="AT3" s="372">
        <f>[9]segmenty!$I$47*1000</f>
        <v>41977000</v>
      </c>
      <c r="AU3" s="373"/>
      <c r="AV3" s="346">
        <f>SUM('Segmenty_Segment''s results'!BF4:BF11)</f>
        <v>9099000</v>
      </c>
      <c r="AW3" s="166"/>
      <c r="AX3" s="346">
        <f>SUM('Segmenty_Segment''s results'!BF16:BF23)</f>
        <v>10792000</v>
      </c>
      <c r="AY3" s="373"/>
      <c r="AZ3" s="346">
        <f>([10]segmenty!$I$9)*1000</f>
        <v>23030000</v>
      </c>
      <c r="BA3" s="166"/>
      <c r="BB3" s="346">
        <f>[10]segmenty!$I$47*1000</f>
        <v>31783000</v>
      </c>
      <c r="BC3" s="373"/>
      <c r="BD3" s="346">
        <f>AZ3-BH3</f>
        <v>7746000</v>
      </c>
      <c r="BE3" s="166"/>
      <c r="BF3" s="346">
        <f>BB3-BJ3</f>
        <v>9160000</v>
      </c>
      <c r="BG3" s="373"/>
      <c r="BH3" s="346">
        <v>15284000</v>
      </c>
      <c r="BI3" s="166"/>
      <c r="BJ3" s="346">
        <v>22623000</v>
      </c>
      <c r="BK3" s="373"/>
      <c r="BL3" s="346">
        <f t="shared" ref="BL3:BN6" si="0">BH3-BP3</f>
        <v>7142000</v>
      </c>
      <c r="BM3" s="166"/>
      <c r="BN3" s="346">
        <f t="shared" si="0"/>
        <v>9064000</v>
      </c>
      <c r="BO3" s="166"/>
      <c r="BP3" s="346">
        <f>[11]segmenty!$H$9*1000</f>
        <v>8142000</v>
      </c>
      <c r="BQ3" s="166"/>
      <c r="BR3" s="372">
        <f>[11]segmenty!$H$47*1000</f>
        <v>13559000</v>
      </c>
      <c r="BS3" s="166"/>
      <c r="BT3" s="346">
        <f>[12]segmenty!$H$9*1000</f>
        <v>42657000</v>
      </c>
      <c r="BU3" s="166"/>
      <c r="BV3" s="372">
        <f>CV3</f>
        <v>37341000</v>
      </c>
      <c r="BW3" s="373"/>
      <c r="BX3" s="346">
        <f>BT3-CB3</f>
        <v>10215000</v>
      </c>
      <c r="BY3" s="166"/>
      <c r="BZ3" s="372">
        <f>CZ3</f>
        <v>10531000</v>
      </c>
      <c r="CA3" s="373"/>
      <c r="CB3" s="346">
        <f>([13]segmenty!$H$9)*1000</f>
        <v>32442000</v>
      </c>
      <c r="CC3" s="166"/>
      <c r="CD3" s="372">
        <f>DD3</f>
        <v>26810000</v>
      </c>
      <c r="CE3" s="373"/>
      <c r="CF3" s="346">
        <f>'[13]segmenty 3 m-ce'!$H$69*1000</f>
        <v>9160000</v>
      </c>
      <c r="CG3" s="166"/>
      <c r="CH3" s="372">
        <f>DH3</f>
        <v>8690000</v>
      </c>
      <c r="CI3" s="373"/>
      <c r="CJ3" s="346">
        <f>[14]segmenty!$H$9*1000</f>
        <v>23282000</v>
      </c>
      <c r="CK3" s="166"/>
      <c r="CL3" s="372">
        <f>[14]segmenty!$K$48*1000</f>
        <v>18124000</v>
      </c>
      <c r="CM3" s="373"/>
      <c r="CN3" s="346">
        <f t="shared" ref="CN3:CP6" si="1">CJ3-CR3</f>
        <v>9723000</v>
      </c>
      <c r="CO3" s="166"/>
      <c r="CP3" s="372">
        <f t="shared" si="1"/>
        <v>8311000</v>
      </c>
      <c r="CQ3" s="373"/>
      <c r="CR3" s="346">
        <f>[15]segmenty!$H$9*1000</f>
        <v>13559000</v>
      </c>
      <c r="CS3" s="166"/>
      <c r="CT3" s="372">
        <f>[15]segmenty!$K$48*1000</f>
        <v>9813000</v>
      </c>
      <c r="CU3" s="373"/>
      <c r="CV3" s="346">
        <v>37341000</v>
      </c>
      <c r="CW3" s="166"/>
      <c r="CX3" s="372">
        <v>25614000</v>
      </c>
      <c r="CY3" s="373"/>
      <c r="CZ3" s="346">
        <f t="shared" ref="CZ3:DB6" si="2">CV3-DD3</f>
        <v>10531000</v>
      </c>
      <c r="DA3" s="166"/>
      <c r="DB3" s="372">
        <f t="shared" si="2"/>
        <v>7750000</v>
      </c>
      <c r="DC3" s="373"/>
      <c r="DD3" s="346">
        <v>26810000</v>
      </c>
      <c r="DE3" s="166"/>
      <c r="DF3" s="372">
        <v>17864000</v>
      </c>
      <c r="DG3" s="373"/>
      <c r="DH3" s="346">
        <v>8690000</v>
      </c>
      <c r="DI3" s="166"/>
      <c r="DJ3" s="372">
        <v>5998000</v>
      </c>
      <c r="DK3" s="373"/>
      <c r="DL3" s="346">
        <v>18124000</v>
      </c>
      <c r="DM3" s="166"/>
      <c r="DN3" s="372">
        <v>11866000</v>
      </c>
      <c r="DO3" s="373"/>
      <c r="DP3" s="346">
        <f>DL3-DT3</f>
        <v>8311000</v>
      </c>
      <c r="DQ3" s="166"/>
      <c r="DR3" s="372">
        <f>DN3-DV3</f>
        <v>5421000</v>
      </c>
      <c r="DS3" s="373"/>
      <c r="DT3" s="346">
        <v>9813000</v>
      </c>
      <c r="DU3" s="166"/>
      <c r="DV3" s="372">
        <v>6445000</v>
      </c>
      <c r="DW3" s="373"/>
      <c r="DX3" s="346">
        <v>25614000</v>
      </c>
      <c r="DY3" s="166"/>
      <c r="DZ3" s="372">
        <v>20850000</v>
      </c>
      <c r="EA3" s="373"/>
      <c r="EB3" s="346">
        <f>DX3-EF3</f>
        <v>7750403</v>
      </c>
      <c r="EC3" s="166"/>
      <c r="ED3" s="372">
        <f>DZ3-EH3</f>
        <v>5629051</v>
      </c>
      <c r="EE3" s="373"/>
      <c r="EF3" s="346">
        <v>17863597</v>
      </c>
      <c r="EG3" s="166"/>
      <c r="EH3" s="372">
        <v>15220949</v>
      </c>
      <c r="EI3" s="373"/>
      <c r="EJ3" s="346">
        <f>EF3-EN3</f>
        <v>5997216</v>
      </c>
      <c r="EK3" s="166"/>
      <c r="EL3" s="372">
        <f>EH3-EP3</f>
        <v>5034171</v>
      </c>
      <c r="EM3" s="373"/>
      <c r="EN3" s="346">
        <v>11866381</v>
      </c>
      <c r="EO3" s="166"/>
      <c r="EP3" s="372">
        <v>10186778</v>
      </c>
      <c r="EQ3" s="373"/>
      <c r="ER3" s="346">
        <f t="shared" ref="ER3:ET6" si="3">EN3-EV3</f>
        <v>5421868</v>
      </c>
      <c r="ES3" s="166"/>
      <c r="ET3" s="372">
        <f t="shared" si="3"/>
        <v>4719012</v>
      </c>
      <c r="EU3" s="373"/>
      <c r="EV3" s="346">
        <v>6444513</v>
      </c>
      <c r="EW3" s="166"/>
      <c r="EX3" s="372">
        <f>FX3</f>
        <v>5467766</v>
      </c>
      <c r="EY3" s="373"/>
      <c r="EZ3" s="346">
        <v>20850008</v>
      </c>
      <c r="FA3" s="166"/>
      <c r="FB3" s="372">
        <v>19558292</v>
      </c>
      <c r="FC3" s="373"/>
      <c r="FD3" s="346">
        <f>EZ3-FH3</f>
        <v>5629059</v>
      </c>
      <c r="FE3" s="166"/>
      <c r="FF3" s="346">
        <f>FB3-FJ3</f>
        <v>5120102</v>
      </c>
      <c r="FG3" s="12"/>
      <c r="FH3" s="346">
        <v>15220949</v>
      </c>
      <c r="FI3" s="166"/>
      <c r="FJ3" s="372">
        <v>14438190</v>
      </c>
      <c r="FK3" s="373"/>
      <c r="FL3" s="346">
        <f t="shared" ref="FL3:FN6" si="4">FH3-FP3</f>
        <v>5332932</v>
      </c>
      <c r="FM3" s="166"/>
      <c r="FN3" s="346">
        <f t="shared" si="4"/>
        <v>5112346</v>
      </c>
      <c r="FO3" s="12"/>
      <c r="FP3" s="346">
        <v>9888017</v>
      </c>
      <c r="FQ3" s="166"/>
      <c r="FR3" s="372">
        <v>9325844</v>
      </c>
      <c r="FS3" s="373"/>
      <c r="FT3" s="346">
        <v>4622401</v>
      </c>
      <c r="FU3" s="166"/>
      <c r="FV3" s="372">
        <v>4238729</v>
      </c>
      <c r="FW3" s="373"/>
      <c r="FX3" s="346">
        <v>5467766</v>
      </c>
      <c r="FY3" s="166"/>
      <c r="FZ3" s="372">
        <v>5312809</v>
      </c>
      <c r="GA3" s="373"/>
      <c r="GB3" s="352">
        <v>19558292</v>
      </c>
      <c r="GD3" s="468">
        <v>18121748</v>
      </c>
      <c r="GE3" s="355"/>
      <c r="GF3" s="352">
        <v>5120102</v>
      </c>
      <c r="GH3" s="468">
        <v>4819946</v>
      </c>
      <c r="GI3" s="373"/>
      <c r="GJ3" s="372">
        <v>15259646</v>
      </c>
      <c r="GK3" s="374"/>
      <c r="GL3" s="372">
        <v>13301802</v>
      </c>
      <c r="GM3" s="355"/>
      <c r="GN3" s="372">
        <v>4861792</v>
      </c>
      <c r="GO3" s="374"/>
      <c r="GP3" s="372">
        <v>4476268</v>
      </c>
      <c r="GQ3" s="373"/>
      <c r="GR3" s="355"/>
      <c r="GS3" s="372">
        <v>10397854</v>
      </c>
      <c r="GT3" s="374"/>
      <c r="GU3" s="372">
        <v>8825534</v>
      </c>
      <c r="GV3" s="355"/>
      <c r="GW3" s="372">
        <v>5085045</v>
      </c>
      <c r="GX3" s="374"/>
      <c r="GY3" s="372">
        <v>4188648</v>
      </c>
      <c r="GZ3" s="355"/>
      <c r="HA3" s="372">
        <v>5312809</v>
      </c>
      <c r="HB3" s="374"/>
      <c r="HC3" s="372">
        <v>4636886</v>
      </c>
      <c r="HD3" s="373"/>
      <c r="HE3" s="372">
        <v>18121748</v>
      </c>
      <c r="HF3" s="374"/>
      <c r="HG3" s="372">
        <v>17424551</v>
      </c>
      <c r="HH3" s="355"/>
      <c r="HI3" s="372">
        <v>4819946</v>
      </c>
      <c r="HJ3" s="374"/>
      <c r="HK3" s="372">
        <v>4550562</v>
      </c>
      <c r="HL3" s="355"/>
      <c r="HM3" s="372">
        <v>13301802</v>
      </c>
      <c r="HN3" s="374"/>
      <c r="HO3" s="372">
        <v>12873989</v>
      </c>
      <c r="HP3" s="355"/>
      <c r="HQ3" s="372">
        <v>4476268</v>
      </c>
      <c r="HR3" s="374"/>
      <c r="HS3" s="372">
        <v>4115965</v>
      </c>
      <c r="HT3" s="13"/>
      <c r="HU3" s="187">
        <v>9202371</v>
      </c>
      <c r="HV3" s="166"/>
      <c r="HW3" s="187">
        <v>8758024</v>
      </c>
      <c r="HX3" s="188"/>
      <c r="HY3" s="187">
        <v>4376839</v>
      </c>
      <c r="HZ3" s="166"/>
      <c r="IA3" s="187">
        <v>4166943</v>
      </c>
      <c r="IB3" s="188"/>
      <c r="IC3" s="186">
        <v>4825532</v>
      </c>
      <c r="ID3" s="166"/>
      <c r="IE3" s="187">
        <v>4591081</v>
      </c>
      <c r="IF3" s="9"/>
      <c r="IG3" s="186">
        <v>17416029</v>
      </c>
      <c r="IH3" s="166"/>
      <c r="II3" s="187">
        <v>17646489</v>
      </c>
      <c r="IJ3" s="188"/>
      <c r="IK3" s="186">
        <v>4544709</v>
      </c>
      <c r="IL3" s="166"/>
      <c r="IM3" s="187">
        <v>4654899</v>
      </c>
      <c r="IN3" s="188"/>
      <c r="IO3" s="186">
        <f>IS3-IW3</f>
        <v>4115954</v>
      </c>
      <c r="IP3" s="166"/>
      <c r="IQ3" s="187">
        <f>IU3-IY3</f>
        <v>4150564</v>
      </c>
      <c r="IR3" s="188"/>
      <c r="IS3" s="186">
        <v>12871320</v>
      </c>
      <c r="IT3" s="166"/>
      <c r="IU3" s="187">
        <v>12991590</v>
      </c>
      <c r="IV3" s="188"/>
      <c r="IW3" s="186">
        <v>8755366</v>
      </c>
      <c r="IX3" s="166"/>
      <c r="IY3" s="187">
        <v>8841026</v>
      </c>
      <c r="IZ3" s="188"/>
      <c r="JA3" s="186">
        <f>IW3-JE3</f>
        <v>4165829</v>
      </c>
      <c r="JB3" s="166"/>
      <c r="JC3" s="187">
        <f>IY3-JG3</f>
        <v>4276521</v>
      </c>
      <c r="JD3" s="188"/>
      <c r="JE3" s="186">
        <v>4589537</v>
      </c>
      <c r="JF3" s="166"/>
      <c r="JG3" s="187">
        <v>4564505</v>
      </c>
      <c r="JH3" s="188"/>
      <c r="JI3" s="186">
        <v>17646489</v>
      </c>
      <c r="JJ3" s="166"/>
      <c r="JK3" s="187">
        <v>18264440</v>
      </c>
      <c r="JL3" s="188"/>
      <c r="JM3" s="188"/>
      <c r="JN3" s="186">
        <v>4522744</v>
      </c>
      <c r="JO3" s="166"/>
      <c r="JP3" s="187">
        <v>4630199</v>
      </c>
      <c r="JQ3" s="189"/>
      <c r="JR3" s="186">
        <v>13123745</v>
      </c>
      <c r="JS3" s="166"/>
      <c r="JT3" s="187">
        <v>13634241</v>
      </c>
      <c r="JU3" s="188"/>
      <c r="JV3" s="188"/>
      <c r="JW3" s="186">
        <v>4180888</v>
      </c>
      <c r="JX3" s="166"/>
      <c r="JY3" s="187">
        <v>4377627</v>
      </c>
      <c r="JZ3" s="188"/>
      <c r="KA3" s="188"/>
      <c r="KB3" s="186">
        <v>8942857</v>
      </c>
      <c r="KC3" s="166"/>
      <c r="KD3" s="187">
        <v>9256614</v>
      </c>
      <c r="KE3" s="188"/>
      <c r="KF3" s="188"/>
      <c r="KG3" s="186">
        <v>4295822</v>
      </c>
      <c r="KH3" s="166"/>
      <c r="KI3" s="187">
        <v>4466828</v>
      </c>
      <c r="KJ3" s="188"/>
      <c r="KK3" s="186">
        <v>4647035</v>
      </c>
      <c r="KL3" s="166"/>
      <c r="KM3" s="187">
        <v>4789786</v>
      </c>
      <c r="KN3" s="188"/>
      <c r="KO3" s="187">
        <v>18375224</v>
      </c>
      <c r="KP3" s="188"/>
      <c r="KQ3" s="187">
        <v>18577479</v>
      </c>
      <c r="KR3" s="188"/>
      <c r="KS3" s="187">
        <v>4740983</v>
      </c>
      <c r="KT3" s="188"/>
      <c r="KU3" s="187">
        <v>4859798</v>
      </c>
      <c r="KV3" s="188"/>
      <c r="KW3" s="187">
        <v>13634241</v>
      </c>
      <c r="KX3" s="166"/>
      <c r="KY3" s="187">
        <v>13717681</v>
      </c>
      <c r="KZ3" s="166"/>
      <c r="LA3" s="187">
        <v>4377627</v>
      </c>
      <c r="LB3" s="166"/>
      <c r="LC3" s="187">
        <v>4412231</v>
      </c>
      <c r="LD3" s="166"/>
      <c r="LE3" s="187">
        <v>9184291</v>
      </c>
      <c r="LF3" s="166"/>
      <c r="LG3" s="187">
        <v>9226315</v>
      </c>
      <c r="LH3" s="166"/>
      <c r="LI3" s="187">
        <v>4430475</v>
      </c>
      <c r="LJ3" s="166"/>
      <c r="LK3" s="187">
        <v>4339051</v>
      </c>
      <c r="LL3" s="166"/>
      <c r="LM3" s="187">
        <v>4753816</v>
      </c>
      <c r="LN3" s="166"/>
      <c r="LO3" s="187">
        <v>4887264</v>
      </c>
      <c r="LP3" s="166"/>
      <c r="LQ3" s="187">
        <v>18440763</v>
      </c>
      <c r="LR3" s="166"/>
      <c r="LS3" s="187">
        <v>19131122</v>
      </c>
      <c r="LT3" s="166"/>
      <c r="LU3" s="187">
        <v>4837662</v>
      </c>
      <c r="LV3" s="166"/>
      <c r="LW3" s="187">
        <v>4917418</v>
      </c>
      <c r="LX3" s="184"/>
      <c r="LY3" s="187">
        <v>13603101</v>
      </c>
      <c r="LZ3" s="156"/>
      <c r="MA3" s="187">
        <v>14213704</v>
      </c>
      <c r="MB3" s="156"/>
      <c r="MC3" s="187">
        <v>4376786</v>
      </c>
      <c r="MD3" s="156"/>
      <c r="ME3" s="187">
        <v>4540102</v>
      </c>
      <c r="MF3" s="156"/>
      <c r="MG3" s="187">
        <v>9226315</v>
      </c>
      <c r="MH3" s="156"/>
      <c r="MI3" s="187">
        <v>9706524</v>
      </c>
      <c r="MJ3" s="156"/>
      <c r="MK3" s="187">
        <v>4339051</v>
      </c>
      <c r="ML3" s="156"/>
      <c r="MM3" s="187">
        <v>4542422</v>
      </c>
      <c r="MN3" s="156"/>
      <c r="MO3" s="187">
        <v>4887264</v>
      </c>
      <c r="MP3" s="156"/>
      <c r="MQ3" s="187">
        <v>5164102</v>
      </c>
      <c r="MR3" s="156"/>
      <c r="MS3" s="156"/>
      <c r="MT3" s="156"/>
      <c r="MU3" s="156"/>
      <c r="MV3" s="156"/>
      <c r="MW3" s="156"/>
      <c r="MX3" s="156"/>
      <c r="MY3" s="156"/>
      <c r="MZ3" s="156"/>
      <c r="NA3" s="156"/>
      <c r="NB3" s="156"/>
      <c r="NC3" s="156"/>
      <c r="ND3" s="156"/>
      <c r="NE3" s="156"/>
      <c r="NF3" s="156"/>
      <c r="NG3" s="156"/>
      <c r="NH3" s="156"/>
      <c r="NI3" s="156"/>
      <c r="NJ3" s="156"/>
      <c r="NK3" s="156"/>
      <c r="NL3" s="156"/>
      <c r="NM3" s="156"/>
      <c r="NN3" s="156"/>
      <c r="NO3" s="156"/>
      <c r="NP3" s="156"/>
      <c r="NQ3" s="156"/>
      <c r="NR3" s="156"/>
      <c r="NS3" s="156"/>
      <c r="NT3" s="156"/>
      <c r="NU3" s="156"/>
      <c r="NV3" s="156"/>
      <c r="NW3" s="156"/>
      <c r="NX3" s="156"/>
      <c r="NY3" s="156"/>
      <c r="NZ3" s="156"/>
      <c r="OA3" s="156"/>
      <c r="OB3" s="156"/>
      <c r="OC3" s="156"/>
      <c r="OD3" s="156"/>
      <c r="OE3" s="156"/>
      <c r="OF3" s="156"/>
      <c r="OG3" s="156"/>
      <c r="OH3" s="156"/>
      <c r="OI3" s="156"/>
      <c r="OJ3" s="156"/>
      <c r="OK3" s="156"/>
      <c r="OL3" s="156"/>
      <c r="OM3" s="156"/>
      <c r="ON3" s="156"/>
      <c r="OO3" s="156"/>
      <c r="OP3" s="156"/>
      <c r="OQ3" s="156"/>
      <c r="OR3" s="156"/>
      <c r="OS3" s="156"/>
      <c r="OT3" s="156"/>
      <c r="OU3" s="156"/>
      <c r="OV3" s="156"/>
      <c r="OW3" s="156"/>
      <c r="OX3" s="156"/>
      <c r="OY3" s="156"/>
      <c r="OZ3" s="156"/>
      <c r="PA3" s="156"/>
      <c r="PB3" s="156"/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</row>
    <row r="4" spans="1:433">
      <c r="A4" s="7" t="s">
        <v>0</v>
      </c>
      <c r="B4" s="13" t="s">
        <v>369</v>
      </c>
      <c r="C4" s="13"/>
      <c r="D4" s="736">
        <f>('[3]segmenty prez'!$I$19)*1000</f>
        <v>3697000</v>
      </c>
      <c r="E4" s="735"/>
      <c r="F4" s="736">
        <f>('[3]segmenty prez'!$I$58)*1000</f>
        <v>4224000</v>
      </c>
      <c r="G4" s="13"/>
      <c r="H4" s="736">
        <f>('[3]segmenty 3 m-ce PREZ'!$I$19)*1000</f>
        <v>1606000</v>
      </c>
      <c r="I4" s="13"/>
      <c r="J4" s="736">
        <f>('[3]segmenty 3 m-ce PREZ'!$I$51)*1000</f>
        <v>1893000</v>
      </c>
      <c r="K4" s="13"/>
      <c r="L4" s="736">
        <f>('[4]segmenty prez'!$I$19)*1000</f>
        <v>2091000</v>
      </c>
      <c r="M4" s="733"/>
      <c r="N4" s="737">
        <f>AN4</f>
        <v>2331000</v>
      </c>
      <c r="O4" s="13"/>
      <c r="P4" s="736">
        <f>[5]segmenty!$I$36*1000</f>
        <v>7511000</v>
      </c>
      <c r="Q4" s="13"/>
      <c r="R4" s="694">
        <f>[5]segmenty!$I$76*1000</f>
        <v>6470000</v>
      </c>
      <c r="S4" s="13"/>
      <c r="T4" s="688">
        <f>SUM('Segmenty_Segment''s results'!X4:X11)</f>
        <v>1369000</v>
      </c>
      <c r="U4" s="13"/>
      <c r="V4" s="694">
        <f>SUM('Segmenty_Segment''s results'!X16:X23)</f>
        <v>1458000</v>
      </c>
      <c r="W4" s="13"/>
      <c r="X4" s="321">
        <f>'[6]segmenty prez'!$I$16*1000</f>
        <v>6142000</v>
      </c>
      <c r="Y4" s="166"/>
      <c r="Z4" s="374">
        <f>'[6]segmenty prez'!$I$52*1000</f>
        <v>5012000</v>
      </c>
      <c r="AA4" s="166"/>
      <c r="AB4" s="321" t="e">
        <f>#REF!*1000</f>
        <v>#REF!</v>
      </c>
      <c r="AC4" s="166"/>
      <c r="AD4" s="374" t="e">
        <f>#REF!*1000</f>
        <v>#REF!</v>
      </c>
      <c r="AE4" s="166"/>
      <c r="AF4" s="321">
        <f>[7]segmenty!$I$34*1000</f>
        <v>4224000</v>
      </c>
      <c r="AG4" s="166"/>
      <c r="AH4" s="374">
        <f>[7]segmenty!$I$72*1000</f>
        <v>3534000</v>
      </c>
      <c r="AI4" s="374"/>
      <c r="AJ4" s="321">
        <f>'[7]segmenty 3 m-ce PREZ'!$I$16*1000</f>
        <v>1893000</v>
      </c>
      <c r="AK4" s="166"/>
      <c r="AL4" s="374">
        <f>'[7]segmenty 3 m-ce PREZ'!$I$45*1000</f>
        <v>1651000</v>
      </c>
      <c r="AM4" s="374"/>
      <c r="AN4" s="321">
        <f>[8]segmenty!$I$34*1000</f>
        <v>2331000</v>
      </c>
      <c r="AO4" s="166"/>
      <c r="AP4" s="374">
        <f>BP4</f>
        <v>1541000</v>
      </c>
      <c r="AQ4" s="374"/>
      <c r="AR4" s="321">
        <f>[9]segmenty!$I$34*1000</f>
        <v>6470000</v>
      </c>
      <c r="AS4" s="166"/>
      <c r="AT4" s="374">
        <f>[9]segmenty!$I$72*1000</f>
        <v>5465000</v>
      </c>
      <c r="AU4" s="374"/>
      <c r="AV4" s="321">
        <f>SUM('Segmenty_Segment''s results'!BG4:BG11)</f>
        <v>1458000</v>
      </c>
      <c r="AW4" s="166"/>
      <c r="AX4" s="321">
        <f>SUM('Segmenty_Segment''s results'!BG16:BG23)</f>
        <v>592000</v>
      </c>
      <c r="AY4" s="374"/>
      <c r="AZ4" s="321">
        <f>([10]segmenty!$I$34)*1000</f>
        <v>4606000</v>
      </c>
      <c r="BA4" s="166"/>
      <c r="BB4" s="321">
        <f>CB4</f>
        <v>5471000</v>
      </c>
      <c r="BC4" s="374"/>
      <c r="BD4" s="321">
        <f>AZ4-BH4</f>
        <v>1477000</v>
      </c>
      <c r="BE4" s="166"/>
      <c r="BF4" s="321">
        <f>BB4-BJ4</f>
        <v>1197000</v>
      </c>
      <c r="BG4" s="374"/>
      <c r="BH4" s="321">
        <v>3129000</v>
      </c>
      <c r="BI4" s="166"/>
      <c r="BJ4" s="321">
        <v>4274000</v>
      </c>
      <c r="BK4" s="374"/>
      <c r="BL4" s="321">
        <f t="shared" si="0"/>
        <v>1588000</v>
      </c>
      <c r="BM4" s="166"/>
      <c r="BN4" s="321">
        <f t="shared" si="0"/>
        <v>2044000</v>
      </c>
      <c r="BO4" s="166"/>
      <c r="BP4" s="321">
        <f>[11]segmenty!$H$34*1000</f>
        <v>1541000</v>
      </c>
      <c r="BQ4" s="166"/>
      <c r="BR4" s="374">
        <f>[11]segmenty!$H$72*1000</f>
        <v>2230000</v>
      </c>
      <c r="BS4" s="166"/>
      <c r="BT4" s="321">
        <f>[12]segmenty!$H$34*1000</f>
        <v>6145000</v>
      </c>
      <c r="BU4" s="166"/>
      <c r="BV4" s="374">
        <f>CV4</f>
        <v>4016000</v>
      </c>
      <c r="BW4" s="374"/>
      <c r="BX4" s="321">
        <f>BT4-CB4</f>
        <v>674000</v>
      </c>
      <c r="BY4" s="166"/>
      <c r="BZ4" s="374">
        <f>CZ4</f>
        <v>1170000</v>
      </c>
      <c r="CA4" s="374"/>
      <c r="CB4" s="321">
        <f>([13]segmenty!$H$34)*1000</f>
        <v>5471000</v>
      </c>
      <c r="CC4" s="166"/>
      <c r="CD4" s="374">
        <f>DD4</f>
        <v>2846000</v>
      </c>
      <c r="CE4" s="374"/>
      <c r="CF4" s="321">
        <f>'[13]segmenty 3 m-ce'!$H$84*1000</f>
        <v>1197000</v>
      </c>
      <c r="CG4" s="166"/>
      <c r="CH4" s="374">
        <f>DH4</f>
        <v>495000</v>
      </c>
      <c r="CI4" s="374"/>
      <c r="CJ4" s="321">
        <f>[14]segmenty!$H$34*1000</f>
        <v>4274000</v>
      </c>
      <c r="CK4" s="166"/>
      <c r="CL4" s="374">
        <f>[14]segmenty!$K$72*1000</f>
        <v>2351000</v>
      </c>
      <c r="CM4" s="374"/>
      <c r="CN4" s="321">
        <f t="shared" si="1"/>
        <v>2044000</v>
      </c>
      <c r="CO4" s="166"/>
      <c r="CP4" s="374">
        <f t="shared" si="1"/>
        <v>396000</v>
      </c>
      <c r="CQ4" s="374"/>
      <c r="CR4" s="321">
        <f>[15]segmenty!$H$34*1000</f>
        <v>2230000</v>
      </c>
      <c r="CS4" s="166"/>
      <c r="CT4" s="374">
        <f>[15]segmenty!$K$71*1000</f>
        <v>1955000</v>
      </c>
      <c r="CU4" s="374"/>
      <c r="CV4" s="321">
        <v>4016000</v>
      </c>
      <c r="CW4" s="166"/>
      <c r="CX4" s="374">
        <v>4152000</v>
      </c>
      <c r="CY4" s="374"/>
      <c r="CZ4" s="321">
        <f t="shared" si="2"/>
        <v>1170000</v>
      </c>
      <c r="DA4" s="166"/>
      <c r="DB4" s="374">
        <f t="shared" si="2"/>
        <v>445000</v>
      </c>
      <c r="DC4" s="374"/>
      <c r="DD4" s="321">
        <v>2846000</v>
      </c>
      <c r="DE4" s="166"/>
      <c r="DF4" s="374">
        <v>3707000</v>
      </c>
      <c r="DG4" s="374"/>
      <c r="DH4" s="321">
        <v>495000</v>
      </c>
      <c r="DI4" s="166"/>
      <c r="DJ4" s="374">
        <v>787000</v>
      </c>
      <c r="DK4" s="374"/>
      <c r="DL4" s="321">
        <v>2351000</v>
      </c>
      <c r="DM4" s="166"/>
      <c r="DN4" s="374">
        <v>2920000</v>
      </c>
      <c r="DO4" s="374"/>
      <c r="DP4" s="321">
        <f>DL4-DT4</f>
        <v>396000</v>
      </c>
      <c r="DQ4" s="166"/>
      <c r="DR4" s="374">
        <f>DN4-DV4</f>
        <v>1185000</v>
      </c>
      <c r="DS4" s="374"/>
      <c r="DT4" s="321">
        <v>1955000</v>
      </c>
      <c r="DU4" s="166"/>
      <c r="DV4" s="374">
        <v>1735000</v>
      </c>
      <c r="DW4" s="374"/>
      <c r="DX4" s="321">
        <v>4152000</v>
      </c>
      <c r="DY4" s="166"/>
      <c r="DZ4" s="374">
        <v>4226000</v>
      </c>
      <c r="EA4" s="374"/>
      <c r="EB4" s="321">
        <f>DX4-EF4</f>
        <v>446772</v>
      </c>
      <c r="EC4" s="166"/>
      <c r="ED4" s="374">
        <f>DZ4-EH4</f>
        <v>811079</v>
      </c>
      <c r="EE4" s="374"/>
      <c r="EF4" s="321">
        <v>3705228</v>
      </c>
      <c r="EG4" s="166"/>
      <c r="EH4" s="374">
        <v>3414921</v>
      </c>
      <c r="EI4" s="374"/>
      <c r="EJ4" s="321">
        <f>EF4-EN4</f>
        <v>786578</v>
      </c>
      <c r="EK4" s="166"/>
      <c r="EL4" s="374">
        <f>EH4-EP4</f>
        <v>1007194</v>
      </c>
      <c r="EM4" s="374"/>
      <c r="EN4" s="321">
        <v>2918650</v>
      </c>
      <c r="EO4" s="166"/>
      <c r="EP4" s="374">
        <v>2407727</v>
      </c>
      <c r="EQ4" s="374"/>
      <c r="ER4" s="321">
        <f t="shared" si="3"/>
        <v>1183248</v>
      </c>
      <c r="ES4" s="166"/>
      <c r="ET4" s="374">
        <f t="shared" si="3"/>
        <v>1450326</v>
      </c>
      <c r="EU4" s="374"/>
      <c r="EV4" s="321">
        <v>1735402</v>
      </c>
      <c r="EW4" s="166"/>
      <c r="EX4" s="374">
        <f>FX4</f>
        <v>957401</v>
      </c>
      <c r="EY4" s="374"/>
      <c r="EZ4" s="321">
        <v>4222717</v>
      </c>
      <c r="FA4" s="166"/>
      <c r="FB4" s="374">
        <v>3599367</v>
      </c>
      <c r="FC4" s="374"/>
      <c r="FD4" s="321">
        <f>EZ4-FH4</f>
        <v>809122</v>
      </c>
      <c r="FE4" s="166"/>
      <c r="FF4" s="321">
        <f>FB4-FJ4</f>
        <v>442786</v>
      </c>
      <c r="FG4" s="13"/>
      <c r="FH4" s="321">
        <v>3413595</v>
      </c>
      <c r="FI4" s="166"/>
      <c r="FJ4" s="374">
        <v>3156581</v>
      </c>
      <c r="FK4" s="374"/>
      <c r="FL4" s="321">
        <f t="shared" si="4"/>
        <v>1005865</v>
      </c>
      <c r="FM4" s="166"/>
      <c r="FN4" s="321">
        <f t="shared" si="4"/>
        <v>927805</v>
      </c>
      <c r="FO4" s="13"/>
      <c r="FP4" s="321">
        <v>2407730</v>
      </c>
      <c r="FQ4" s="166"/>
      <c r="FR4" s="374">
        <v>2228776</v>
      </c>
      <c r="FS4" s="374"/>
      <c r="FT4" s="321">
        <v>1450329</v>
      </c>
      <c r="FU4" s="166"/>
      <c r="FV4" s="374">
        <v>996452</v>
      </c>
      <c r="FW4" s="374"/>
      <c r="FX4" s="321">
        <v>957401</v>
      </c>
      <c r="FY4" s="166"/>
      <c r="FZ4" s="374">
        <v>1232324</v>
      </c>
      <c r="GA4" s="374"/>
      <c r="GB4" s="353">
        <v>3599367</v>
      </c>
      <c r="GD4" s="374">
        <v>3492084</v>
      </c>
      <c r="GE4" s="355"/>
      <c r="GF4" s="353">
        <v>582961</v>
      </c>
      <c r="GH4" s="374">
        <v>434973</v>
      </c>
      <c r="GI4" s="374"/>
      <c r="GJ4" s="374">
        <v>3016406</v>
      </c>
      <c r="GK4" s="374"/>
      <c r="GL4" s="374">
        <v>3057111</v>
      </c>
      <c r="GM4" s="355"/>
      <c r="GN4" s="374">
        <v>808041</v>
      </c>
      <c r="GO4" s="374"/>
      <c r="GP4" s="374">
        <v>795283</v>
      </c>
      <c r="GQ4" s="374"/>
      <c r="GR4" s="355"/>
      <c r="GS4" s="374">
        <v>2208365</v>
      </c>
      <c r="GT4" s="374"/>
      <c r="GU4" s="374">
        <v>2261828</v>
      </c>
      <c r="GV4" s="355"/>
      <c r="GW4" s="374">
        <v>996168</v>
      </c>
      <c r="GX4" s="374"/>
      <c r="GY4" s="374">
        <v>936172</v>
      </c>
      <c r="GZ4" s="355"/>
      <c r="HA4" s="374">
        <v>1212197</v>
      </c>
      <c r="HB4" s="374"/>
      <c r="HC4" s="374">
        <v>1325656</v>
      </c>
      <c r="HD4" s="374"/>
      <c r="HE4" s="374">
        <v>3374926</v>
      </c>
      <c r="HF4" s="374"/>
      <c r="HG4" s="374">
        <v>3617641</v>
      </c>
      <c r="HH4" s="355"/>
      <c r="HI4" s="374">
        <v>403331</v>
      </c>
      <c r="HJ4" s="374"/>
      <c r="HK4" s="374">
        <v>670921</v>
      </c>
      <c r="HL4" s="355"/>
      <c r="HM4" s="374">
        <v>2971595</v>
      </c>
      <c r="HN4" s="374"/>
      <c r="HO4" s="374">
        <v>2946720</v>
      </c>
      <c r="HP4" s="355"/>
      <c r="HQ4" s="374">
        <v>777711</v>
      </c>
      <c r="HR4" s="374"/>
      <c r="HS4" s="374">
        <v>794410</v>
      </c>
      <c r="HT4" s="13"/>
      <c r="HU4" s="166">
        <v>2193884</v>
      </c>
      <c r="HV4" s="166"/>
      <c r="HW4" s="166">
        <v>2152310</v>
      </c>
      <c r="HX4" s="188"/>
      <c r="HY4" s="166">
        <v>901641</v>
      </c>
      <c r="HZ4" s="166"/>
      <c r="IA4" s="166">
        <v>929828</v>
      </c>
      <c r="IB4" s="188"/>
      <c r="IC4" s="190">
        <v>1292243</v>
      </c>
      <c r="ID4" s="166"/>
      <c r="IE4" s="166">
        <v>1222482</v>
      </c>
      <c r="IF4" s="14"/>
      <c r="IG4" s="190">
        <v>3544591</v>
      </c>
      <c r="IH4" s="166"/>
      <c r="II4" s="166">
        <v>3336814</v>
      </c>
      <c r="IJ4" s="188"/>
      <c r="IK4" s="190">
        <v>667406</v>
      </c>
      <c r="IL4" s="166"/>
      <c r="IM4" s="166">
        <v>876288</v>
      </c>
      <c r="IN4" s="188"/>
      <c r="IO4" s="190">
        <f>IS4-IW4</f>
        <v>783205</v>
      </c>
      <c r="IP4" s="166"/>
      <c r="IQ4" s="166">
        <f>IU4-IY4</f>
        <v>797351</v>
      </c>
      <c r="IR4" s="188"/>
      <c r="IS4" s="190">
        <v>2877185</v>
      </c>
      <c r="IT4" s="166"/>
      <c r="IU4" s="166">
        <v>2460526</v>
      </c>
      <c r="IV4" s="188"/>
      <c r="IW4" s="190">
        <v>2093980</v>
      </c>
      <c r="IX4" s="166"/>
      <c r="IY4" s="166">
        <v>1663175</v>
      </c>
      <c r="IZ4" s="188"/>
      <c r="JA4" s="190">
        <f>IW4-JE4</f>
        <v>908739</v>
      </c>
      <c r="JB4" s="166"/>
      <c r="JC4" s="166">
        <f>IY4-JG4</f>
        <v>789064</v>
      </c>
      <c r="JD4" s="188"/>
      <c r="JE4" s="190">
        <v>1185241</v>
      </c>
      <c r="JF4" s="166"/>
      <c r="JG4" s="166">
        <v>874111</v>
      </c>
      <c r="JH4" s="188"/>
      <c r="JI4" s="190">
        <v>3336814</v>
      </c>
      <c r="JJ4" s="166"/>
      <c r="JK4" s="166">
        <v>3523228</v>
      </c>
      <c r="JL4" s="188"/>
      <c r="JM4" s="188"/>
      <c r="JN4" s="190">
        <v>879302</v>
      </c>
      <c r="JO4" s="166"/>
      <c r="JP4" s="166">
        <v>682152</v>
      </c>
      <c r="JQ4" s="190"/>
      <c r="JR4" s="190">
        <v>2457512</v>
      </c>
      <c r="JS4" s="166"/>
      <c r="JT4" s="166">
        <v>2841076</v>
      </c>
      <c r="JU4" s="188"/>
      <c r="JV4" s="188"/>
      <c r="JW4" s="190">
        <v>804106</v>
      </c>
      <c r="JX4" s="166"/>
      <c r="JY4" s="166">
        <v>933204</v>
      </c>
      <c r="JZ4" s="188"/>
      <c r="KA4" s="188"/>
      <c r="KB4" s="190">
        <v>1653406</v>
      </c>
      <c r="KC4" s="166"/>
      <c r="KD4" s="166">
        <v>1907872</v>
      </c>
      <c r="KE4" s="188"/>
      <c r="KF4" s="188"/>
      <c r="KG4" s="190">
        <v>780493</v>
      </c>
      <c r="KH4" s="166"/>
      <c r="KI4" s="166">
        <v>892937</v>
      </c>
      <c r="KJ4" s="188"/>
      <c r="KK4" s="190">
        <v>872913</v>
      </c>
      <c r="KL4" s="166"/>
      <c r="KM4" s="166">
        <v>1014935</v>
      </c>
      <c r="KN4" s="188"/>
      <c r="KO4" s="166">
        <v>3523303</v>
      </c>
      <c r="KP4" s="188"/>
      <c r="KQ4" s="166">
        <v>3694544</v>
      </c>
      <c r="KR4" s="188"/>
      <c r="KS4" s="166">
        <v>682227</v>
      </c>
      <c r="KT4" s="188"/>
      <c r="KU4" s="166">
        <v>769168</v>
      </c>
      <c r="KV4" s="188"/>
      <c r="KW4" s="166">
        <v>2841076</v>
      </c>
      <c r="KX4" s="166"/>
      <c r="KY4" s="166">
        <v>2925376</v>
      </c>
      <c r="KZ4" s="166"/>
      <c r="LA4" s="166">
        <v>933204</v>
      </c>
      <c r="LB4" s="166"/>
      <c r="LC4" s="166">
        <v>920761</v>
      </c>
      <c r="LD4" s="166"/>
      <c r="LE4" s="166">
        <v>1914860</v>
      </c>
      <c r="LF4" s="166"/>
      <c r="LG4" s="166">
        <v>1994598</v>
      </c>
      <c r="LH4" s="166"/>
      <c r="LI4" s="166">
        <v>894004</v>
      </c>
      <c r="LJ4" s="166"/>
      <c r="LK4" s="166">
        <v>906390</v>
      </c>
      <c r="LL4" s="166"/>
      <c r="LM4" s="166">
        <v>1020856</v>
      </c>
      <c r="LN4" s="166"/>
      <c r="LO4" s="166">
        <v>1088208</v>
      </c>
      <c r="LP4" s="166"/>
      <c r="LQ4" s="166">
        <v>3627100</v>
      </c>
      <c r="LR4" s="166"/>
      <c r="LS4" s="166">
        <v>3661484</v>
      </c>
      <c r="LT4" s="166"/>
      <c r="LU4" s="166">
        <v>711791</v>
      </c>
      <c r="LV4" s="166"/>
      <c r="LW4" s="166">
        <v>660767</v>
      </c>
      <c r="LX4" s="166"/>
      <c r="LY4" s="166">
        <v>2915309</v>
      </c>
      <c r="LZ4" s="156"/>
      <c r="MA4" s="166">
        <v>3000717</v>
      </c>
      <c r="MB4" s="156"/>
      <c r="MC4" s="166">
        <v>920711</v>
      </c>
      <c r="MD4" s="156"/>
      <c r="ME4" s="166">
        <v>947054</v>
      </c>
      <c r="MF4" s="156"/>
      <c r="MG4" s="166">
        <v>1994598</v>
      </c>
      <c r="MH4" s="156"/>
      <c r="MI4" s="166">
        <v>2053663</v>
      </c>
      <c r="MJ4" s="156"/>
      <c r="MK4" s="166">
        <v>906390</v>
      </c>
      <c r="ML4" s="156"/>
      <c r="MM4" s="166">
        <v>831507</v>
      </c>
      <c r="MN4" s="156"/>
      <c r="MO4" s="166">
        <v>1088208</v>
      </c>
      <c r="MP4" s="156"/>
      <c r="MQ4" s="166">
        <v>1222156</v>
      </c>
      <c r="MR4" s="156"/>
      <c r="MS4" s="156"/>
      <c r="MT4" s="156"/>
      <c r="MU4" s="156"/>
      <c r="MV4" s="156"/>
      <c r="MW4" s="156"/>
      <c r="MX4" s="156"/>
      <c r="MY4" s="156"/>
      <c r="MZ4" s="156"/>
      <c r="NA4" s="156"/>
      <c r="NB4" s="156"/>
      <c r="NC4" s="156"/>
      <c r="ND4" s="156"/>
      <c r="NE4" s="156"/>
      <c r="NF4" s="156"/>
      <c r="NG4" s="156"/>
      <c r="NH4" s="156"/>
      <c r="NI4" s="156"/>
      <c r="NJ4" s="156"/>
      <c r="NK4" s="156"/>
      <c r="NL4" s="156"/>
      <c r="NM4" s="156"/>
      <c r="NN4" s="156"/>
      <c r="NO4" s="156"/>
      <c r="NP4" s="156"/>
      <c r="NQ4" s="156"/>
      <c r="NR4" s="156"/>
      <c r="NS4" s="156"/>
      <c r="NT4" s="156"/>
      <c r="NU4" s="156"/>
      <c r="NV4" s="156"/>
      <c r="NW4" s="156"/>
      <c r="NX4" s="156"/>
      <c r="NY4" s="156"/>
      <c r="NZ4" s="156"/>
      <c r="OA4" s="156"/>
      <c r="OB4" s="156"/>
      <c r="OC4" s="156"/>
      <c r="OD4" s="156"/>
      <c r="OE4" s="156"/>
      <c r="OF4" s="156"/>
      <c r="OG4" s="156"/>
      <c r="OH4" s="156"/>
      <c r="OI4" s="156"/>
      <c r="OJ4" s="156"/>
      <c r="OK4" s="156"/>
      <c r="OL4" s="156"/>
      <c r="OM4" s="156"/>
      <c r="ON4" s="156"/>
      <c r="OO4" s="156"/>
      <c r="OP4" s="156"/>
      <c r="OQ4" s="156"/>
      <c r="OR4" s="156"/>
      <c r="OS4" s="156"/>
      <c r="OT4" s="156"/>
      <c r="OU4" s="156"/>
      <c r="OV4" s="156"/>
      <c r="OW4" s="156"/>
      <c r="OX4" s="156"/>
      <c r="OY4" s="156"/>
      <c r="OZ4" s="156"/>
      <c r="PA4" s="156"/>
      <c r="PB4" s="156"/>
      <c r="PC4" s="156"/>
      <c r="PD4" s="156"/>
      <c r="PE4" s="156"/>
      <c r="PF4" s="156"/>
      <c r="PG4" s="156"/>
      <c r="PH4" s="156"/>
      <c r="PI4" s="156"/>
      <c r="PJ4" s="156"/>
      <c r="PK4" s="156"/>
      <c r="PL4" s="156"/>
      <c r="PM4" s="156"/>
      <c r="PN4" s="156"/>
      <c r="PO4" s="156"/>
      <c r="PP4" s="156"/>
      <c r="PQ4" s="156"/>
    </row>
    <row r="5" spans="1:433">
      <c r="A5" s="7" t="s">
        <v>47</v>
      </c>
      <c r="B5" s="13" t="s">
        <v>369</v>
      </c>
      <c r="C5" s="13"/>
      <c r="D5" s="736">
        <f>('[3]segmenty prez'!$I$25)*1000</f>
        <v>1565000</v>
      </c>
      <c r="E5" s="735"/>
      <c r="F5" s="736">
        <f>('[3]segmenty prez'!$I$64)*1000</f>
        <v>2055000</v>
      </c>
      <c r="G5" s="13"/>
      <c r="H5" s="736">
        <f>('[3]segmenty 3 m-ce PREZ'!$I$25)*1000</f>
        <v>586000</v>
      </c>
      <c r="I5" s="13"/>
      <c r="J5" s="736">
        <f>('[3]segmenty 3 m-ce PREZ'!$I$57)*1000</f>
        <v>924000</v>
      </c>
      <c r="K5" s="13"/>
      <c r="L5" s="736">
        <f>('[4]segmenty prez'!$I$25)*1000</f>
        <v>979000</v>
      </c>
      <c r="M5" s="733"/>
      <c r="N5" s="737">
        <f>AN5</f>
        <v>1131000</v>
      </c>
      <c r="O5" s="13"/>
      <c r="P5" s="736">
        <f>[5]segmenty!$I$21*1000</f>
        <v>3315000</v>
      </c>
      <c r="Q5" s="13"/>
      <c r="R5" s="694">
        <f>[5]segmenty!$I$61*1000</f>
        <v>590000</v>
      </c>
      <c r="S5" s="13"/>
      <c r="T5" s="688">
        <f>P5-X5</f>
        <v>416000</v>
      </c>
      <c r="U5" s="13"/>
      <c r="V5" s="694">
        <f>R5-Z5</f>
        <v>468000</v>
      </c>
      <c r="W5" s="13"/>
      <c r="X5" s="321">
        <f>'[6]segmenty prez'!$I$22*1000</f>
        <v>2899000</v>
      </c>
      <c r="Y5" s="166"/>
      <c r="Z5" s="374">
        <f>'[6]segmenty prez'!$I$58*1000</f>
        <v>122000</v>
      </c>
      <c r="AA5" s="166"/>
      <c r="AB5" s="321" t="e">
        <f>#REF!*1000</f>
        <v>#REF!</v>
      </c>
      <c r="AC5" s="166"/>
      <c r="AD5" s="374" t="e">
        <f>#REF!*1000</f>
        <v>#REF!</v>
      </c>
      <c r="AE5" s="166"/>
      <c r="AF5" s="321">
        <f>[7]segmenty!$I$19*1000</f>
        <v>2055000</v>
      </c>
      <c r="AG5" s="166"/>
      <c r="AH5" s="374">
        <f>[7]segmenty!$I$57*1000</f>
        <v>-515000</v>
      </c>
      <c r="AI5" s="374"/>
      <c r="AJ5" s="321">
        <f>'[7]segmenty 3 m-ce PREZ'!$I$22*1000</f>
        <v>924000</v>
      </c>
      <c r="AK5" s="166"/>
      <c r="AL5" s="374">
        <f>'[7]segmenty 3 m-ce PREZ'!$I$51*1000</f>
        <v>-1323000</v>
      </c>
      <c r="AM5" s="374"/>
      <c r="AN5" s="321">
        <f>[8]segmenty!$I$19*1000</f>
        <v>1131000</v>
      </c>
      <c r="AO5" s="166"/>
      <c r="AP5" s="374">
        <f>BP5</f>
        <v>531000</v>
      </c>
      <c r="AQ5" s="374"/>
      <c r="AR5" s="321">
        <f>[9]segmenty!$I$19*1000</f>
        <v>590000</v>
      </c>
      <c r="AS5" s="166"/>
      <c r="AT5" s="374">
        <f>[9]segmenty!$I$57*1000</f>
        <v>1128000</v>
      </c>
      <c r="AU5" s="374"/>
      <c r="AV5" s="321">
        <f>SUM('Segmenty_Segment''s results'!BH4:BH11)</f>
        <v>940000</v>
      </c>
      <c r="AW5" s="166"/>
      <c r="AX5" s="321">
        <f>SUM('Segmenty_Segment''s results'!BH16:BH23)</f>
        <v>-513000</v>
      </c>
      <c r="AY5" s="374"/>
      <c r="AZ5" s="321">
        <f>([10]segmenty!$I$19)*1000</f>
        <v>-207000</v>
      </c>
      <c r="BA5" s="166"/>
      <c r="BB5" s="321">
        <f>CB5</f>
        <v>2263000</v>
      </c>
      <c r="BC5" s="374"/>
      <c r="BD5" s="321">
        <f>AZ5-BH5</f>
        <v>636000</v>
      </c>
      <c r="BE5" s="166"/>
      <c r="BF5" s="321">
        <f>BB5-BJ5</f>
        <v>387000</v>
      </c>
      <c r="BG5" s="374"/>
      <c r="BH5" s="321">
        <v>-843000</v>
      </c>
      <c r="BI5" s="166"/>
      <c r="BJ5" s="321">
        <v>1876000</v>
      </c>
      <c r="BK5" s="374"/>
      <c r="BL5" s="321">
        <f t="shared" si="0"/>
        <v>-1374000</v>
      </c>
      <c r="BM5" s="166"/>
      <c r="BN5" s="321">
        <f t="shared" si="0"/>
        <v>840000</v>
      </c>
      <c r="BO5" s="166"/>
      <c r="BP5" s="321">
        <f>[11]segmenty!$H$19*1000</f>
        <v>531000</v>
      </c>
      <c r="BQ5" s="166"/>
      <c r="BR5" s="374">
        <f>[11]segmenty!$H$57*1000</f>
        <v>1036000</v>
      </c>
      <c r="BS5" s="166"/>
      <c r="BT5" s="321">
        <f>[12]segmenty!$H$19*1000</f>
        <v>1678000</v>
      </c>
      <c r="BU5" s="166"/>
      <c r="BV5" s="374">
        <f>CV5</f>
        <v>-134000</v>
      </c>
      <c r="BW5" s="374"/>
      <c r="BX5" s="321">
        <f>BT5-CB5</f>
        <v>-585000</v>
      </c>
      <c r="BY5" s="166"/>
      <c r="BZ5" s="374">
        <f>CZ5</f>
        <v>-531000</v>
      </c>
      <c r="CA5" s="374"/>
      <c r="CB5" s="321">
        <f>([13]segmenty!$H$19)*1000</f>
        <v>2263000</v>
      </c>
      <c r="CC5" s="166"/>
      <c r="CD5" s="374">
        <f>DD5</f>
        <v>397000</v>
      </c>
      <c r="CE5" s="374"/>
      <c r="CF5" s="321">
        <f>'[13]segmenty 3 m-ce'!$H$79*1000</f>
        <v>387000</v>
      </c>
      <c r="CG5" s="166"/>
      <c r="CH5" s="374">
        <f>DH5</f>
        <v>-232000</v>
      </c>
      <c r="CI5" s="374"/>
      <c r="CJ5" s="321">
        <f>[14]segmenty!$H$19*1000</f>
        <v>1876000</v>
      </c>
      <c r="CK5" s="166"/>
      <c r="CL5" s="374">
        <f>[14]segmenty!$K$57*1000</f>
        <v>629000</v>
      </c>
      <c r="CM5" s="374"/>
      <c r="CN5" s="321">
        <f t="shared" si="1"/>
        <v>840000</v>
      </c>
      <c r="CO5" s="166"/>
      <c r="CP5" s="374">
        <f t="shared" si="1"/>
        <v>-272000</v>
      </c>
      <c r="CQ5" s="374"/>
      <c r="CR5" s="321">
        <f>[15]segmenty!$H$19*1000</f>
        <v>1036000</v>
      </c>
      <c r="CS5" s="166"/>
      <c r="CT5" s="374">
        <f>[15]segmenty!$K$57*1000</f>
        <v>901000</v>
      </c>
      <c r="CU5" s="374"/>
      <c r="CV5" s="321">
        <v>-134000</v>
      </c>
      <c r="CW5" s="166"/>
      <c r="CX5" s="374">
        <v>385000</v>
      </c>
      <c r="CY5" s="374"/>
      <c r="CZ5" s="321">
        <f t="shared" si="2"/>
        <v>-531000</v>
      </c>
      <c r="DA5" s="166"/>
      <c r="DB5" s="374">
        <f t="shared" si="2"/>
        <v>-112000</v>
      </c>
      <c r="DC5" s="374"/>
      <c r="DD5" s="321">
        <v>397000</v>
      </c>
      <c r="DE5" s="166"/>
      <c r="DF5" s="374">
        <v>497000</v>
      </c>
      <c r="DG5" s="374"/>
      <c r="DH5" s="321">
        <v>-232000</v>
      </c>
      <c r="DI5" s="166"/>
      <c r="DJ5" s="374">
        <v>115000</v>
      </c>
      <c r="DK5" s="374"/>
      <c r="DL5" s="321">
        <v>629000</v>
      </c>
      <c r="DM5" s="166"/>
      <c r="DN5" s="374">
        <v>382000</v>
      </c>
      <c r="DO5" s="374"/>
      <c r="DP5" s="321">
        <f>DL5-DT5</f>
        <v>-272000</v>
      </c>
      <c r="DQ5" s="166"/>
      <c r="DR5" s="374">
        <f>DN5-DV5</f>
        <v>-469000</v>
      </c>
      <c r="DS5" s="374"/>
      <c r="DT5" s="321">
        <v>901000</v>
      </c>
      <c r="DU5" s="166"/>
      <c r="DV5" s="374">
        <v>851000</v>
      </c>
      <c r="DW5" s="374"/>
      <c r="DX5" s="321">
        <v>385000</v>
      </c>
      <c r="DY5" s="166"/>
      <c r="DZ5" s="374">
        <v>-2173000</v>
      </c>
      <c r="EA5" s="374"/>
      <c r="EB5" s="321">
        <f>DX5-EF5</f>
        <v>-111534</v>
      </c>
      <c r="EC5" s="166"/>
      <c r="ED5" s="374">
        <f>DZ5-EH5</f>
        <v>-2568279</v>
      </c>
      <c r="EE5" s="374"/>
      <c r="EF5" s="321">
        <v>496534</v>
      </c>
      <c r="EG5" s="166"/>
      <c r="EH5" s="374">
        <v>395279</v>
      </c>
      <c r="EI5" s="374"/>
      <c r="EJ5" s="321">
        <f>EF5-EN5</f>
        <v>114569</v>
      </c>
      <c r="EK5" s="166"/>
      <c r="EL5" s="374">
        <f>EH5-EP5</f>
        <v>368233</v>
      </c>
      <c r="EM5" s="374"/>
      <c r="EN5" s="321">
        <v>381965</v>
      </c>
      <c r="EO5" s="166"/>
      <c r="EP5" s="374">
        <v>27046</v>
      </c>
      <c r="EQ5" s="374"/>
      <c r="ER5" s="321">
        <f t="shared" si="3"/>
        <v>-468836</v>
      </c>
      <c r="ES5" s="166"/>
      <c r="ET5" s="374">
        <f t="shared" si="3"/>
        <v>-134429</v>
      </c>
      <c r="EU5" s="374"/>
      <c r="EV5" s="321">
        <v>850801</v>
      </c>
      <c r="EW5" s="166"/>
      <c r="EX5" s="374">
        <f>FX5</f>
        <v>161475</v>
      </c>
      <c r="EY5" s="374"/>
      <c r="EZ5" s="321">
        <v>-2487877</v>
      </c>
      <c r="FA5" s="166"/>
      <c r="FB5" s="374">
        <v>-11683</v>
      </c>
      <c r="FC5" s="374"/>
      <c r="FD5" s="321">
        <f>EZ5-FH5</f>
        <v>-2547677</v>
      </c>
      <c r="FE5" s="166"/>
      <c r="FF5" s="321">
        <f>FB5-FJ5</f>
        <v>-986098</v>
      </c>
      <c r="FG5" s="13"/>
      <c r="FH5" s="321">
        <v>59800</v>
      </c>
      <c r="FI5" s="166"/>
      <c r="FJ5" s="374">
        <v>974415</v>
      </c>
      <c r="FK5" s="374"/>
      <c r="FL5" s="321">
        <f t="shared" si="4"/>
        <v>376882</v>
      </c>
      <c r="FM5" s="166"/>
      <c r="FN5" s="321">
        <f t="shared" si="4"/>
        <v>302029</v>
      </c>
      <c r="FO5" s="13"/>
      <c r="FP5" s="321">
        <v>-317082</v>
      </c>
      <c r="FQ5" s="166"/>
      <c r="FR5" s="374">
        <v>672386</v>
      </c>
      <c r="FS5" s="374"/>
      <c r="FT5" s="321">
        <v>-478556.99999999994</v>
      </c>
      <c r="FU5" s="166"/>
      <c r="FV5" s="374">
        <v>136624</v>
      </c>
      <c r="FW5" s="374"/>
      <c r="FX5" s="321">
        <v>161475</v>
      </c>
      <c r="FY5" s="166"/>
      <c r="FZ5" s="374">
        <v>535762</v>
      </c>
      <c r="GA5" s="374"/>
      <c r="GB5" s="469">
        <v>-11683</v>
      </c>
      <c r="GD5" s="374">
        <v>207045</v>
      </c>
      <c r="GE5" s="355"/>
      <c r="GF5" s="469">
        <v>-866174</v>
      </c>
      <c r="GH5" s="470">
        <v>-647835</v>
      </c>
      <c r="GI5" s="374"/>
      <c r="GJ5" s="374">
        <v>854491</v>
      </c>
      <c r="GK5" s="374"/>
      <c r="GL5" s="374">
        <v>854880</v>
      </c>
      <c r="GM5" s="355"/>
      <c r="GN5" s="374">
        <v>187551</v>
      </c>
      <c r="GO5" s="374"/>
      <c r="GP5" s="374">
        <v>286444</v>
      </c>
      <c r="GQ5" s="374"/>
      <c r="GR5" s="355"/>
      <c r="GS5" s="374">
        <v>666940</v>
      </c>
      <c r="GT5" s="374"/>
      <c r="GU5" s="374">
        <v>568436</v>
      </c>
      <c r="GV5" s="355"/>
      <c r="GW5" s="374">
        <v>142248</v>
      </c>
      <c r="GX5" s="374"/>
      <c r="GY5" s="374">
        <v>-68233</v>
      </c>
      <c r="GZ5" s="355"/>
      <c r="HA5" s="374">
        <v>524692</v>
      </c>
      <c r="HB5" s="374"/>
      <c r="HC5" s="374">
        <v>636669</v>
      </c>
      <c r="HD5" s="374"/>
      <c r="HE5" s="374">
        <v>207045</v>
      </c>
      <c r="HF5" s="374"/>
      <c r="HG5" s="374">
        <v>1382946</v>
      </c>
      <c r="HH5" s="355"/>
      <c r="HI5" s="374">
        <v>-647835</v>
      </c>
      <c r="HJ5" s="374"/>
      <c r="HK5" s="374">
        <v>188716</v>
      </c>
      <c r="HL5" s="355"/>
      <c r="HM5" s="374">
        <v>854880</v>
      </c>
      <c r="HN5" s="374"/>
      <c r="HO5" s="374">
        <v>1194230</v>
      </c>
      <c r="HP5" s="355"/>
      <c r="HQ5" s="374">
        <v>286444</v>
      </c>
      <c r="HR5" s="374"/>
      <c r="HS5" s="374">
        <v>188753</v>
      </c>
      <c r="HT5" s="13"/>
      <c r="HU5" s="166">
        <v>568436</v>
      </c>
      <c r="HV5" s="166"/>
      <c r="HW5" s="166">
        <v>1005477</v>
      </c>
      <c r="HX5" s="188"/>
      <c r="HY5" s="155">
        <v>-68233</v>
      </c>
      <c r="HZ5" s="166"/>
      <c r="IA5" s="166">
        <v>364942</v>
      </c>
      <c r="IB5" s="188"/>
      <c r="IC5" s="190">
        <v>636669</v>
      </c>
      <c r="ID5" s="166"/>
      <c r="IE5" s="166">
        <v>640535</v>
      </c>
      <c r="IF5" s="14"/>
      <c r="IG5" s="190">
        <v>1382946</v>
      </c>
      <c r="IH5" s="166"/>
      <c r="II5" s="166">
        <v>370137</v>
      </c>
      <c r="IJ5" s="188"/>
      <c r="IK5" s="190">
        <v>188716</v>
      </c>
      <c r="IL5" s="166"/>
      <c r="IM5" s="166">
        <v>93809</v>
      </c>
      <c r="IN5" s="188"/>
      <c r="IO5" s="190">
        <f>IS5-IW5</f>
        <v>188753</v>
      </c>
      <c r="IP5" s="166"/>
      <c r="IQ5" s="166">
        <f>IU5-IY5</f>
        <v>271611</v>
      </c>
      <c r="IR5" s="188"/>
      <c r="IS5" s="190">
        <v>1194230</v>
      </c>
      <c r="IT5" s="166"/>
      <c r="IU5" s="166">
        <v>276328</v>
      </c>
      <c r="IV5" s="188"/>
      <c r="IW5" s="190">
        <v>1005477</v>
      </c>
      <c r="IX5" s="166"/>
      <c r="IY5" s="191">
        <v>4717</v>
      </c>
      <c r="IZ5" s="188"/>
      <c r="JA5" s="190">
        <f>IW5-JE5</f>
        <v>364942</v>
      </c>
      <c r="JB5" s="166"/>
      <c r="JC5" s="191">
        <f>IY5-JG5</f>
        <v>-319089</v>
      </c>
      <c r="JD5" s="188"/>
      <c r="JE5" s="190">
        <v>640535</v>
      </c>
      <c r="JF5" s="166"/>
      <c r="JG5" s="191">
        <v>323806</v>
      </c>
      <c r="JH5" s="188"/>
      <c r="JI5" s="190">
        <v>370137</v>
      </c>
      <c r="JJ5" s="166"/>
      <c r="JK5" s="191">
        <v>-1804215</v>
      </c>
      <c r="JL5" s="188"/>
      <c r="JM5" s="188"/>
      <c r="JN5" s="190">
        <v>94005</v>
      </c>
      <c r="JO5" s="166"/>
      <c r="JP5" s="191">
        <v>-2883370</v>
      </c>
      <c r="JQ5" s="190"/>
      <c r="JR5" s="190">
        <v>276132</v>
      </c>
      <c r="JS5" s="166"/>
      <c r="JT5" s="166">
        <v>1079155</v>
      </c>
      <c r="JU5" s="188"/>
      <c r="JV5" s="188"/>
      <c r="JW5" s="190">
        <v>271415</v>
      </c>
      <c r="JX5" s="166"/>
      <c r="JY5" s="166">
        <v>358768</v>
      </c>
      <c r="JZ5" s="188"/>
      <c r="KA5" s="188"/>
      <c r="KB5" s="190">
        <v>4717</v>
      </c>
      <c r="KC5" s="166"/>
      <c r="KD5" s="166">
        <v>718524</v>
      </c>
      <c r="KE5" s="188"/>
      <c r="KF5" s="188"/>
      <c r="KG5" s="192">
        <v>-319089</v>
      </c>
      <c r="KH5" s="166"/>
      <c r="KI5" s="166">
        <v>216481</v>
      </c>
      <c r="KJ5" s="188"/>
      <c r="KK5" s="190">
        <v>323806</v>
      </c>
      <c r="KL5" s="166"/>
      <c r="KM5" s="166">
        <v>502730</v>
      </c>
      <c r="KN5" s="188"/>
      <c r="KO5" s="191">
        <v>-1804215</v>
      </c>
      <c r="KP5" s="188"/>
      <c r="KQ5" s="166">
        <v>1185560</v>
      </c>
      <c r="KR5" s="188"/>
      <c r="KS5" s="191">
        <v>-2883370</v>
      </c>
      <c r="KT5" s="188"/>
      <c r="KU5" s="166">
        <v>132502</v>
      </c>
      <c r="KV5" s="188"/>
      <c r="KW5" s="166">
        <v>1079155</v>
      </c>
      <c r="KX5" s="166"/>
      <c r="KY5" s="166">
        <v>1053058</v>
      </c>
      <c r="KZ5" s="166"/>
      <c r="LA5" s="166">
        <v>358768</v>
      </c>
      <c r="LB5" s="166"/>
      <c r="LC5" s="166">
        <v>319136</v>
      </c>
      <c r="LD5" s="166"/>
      <c r="LE5" s="166">
        <v>720387</v>
      </c>
      <c r="LF5" s="166"/>
      <c r="LG5" s="166">
        <v>733922</v>
      </c>
      <c r="LH5" s="166"/>
      <c r="LI5" s="166">
        <v>217657</v>
      </c>
      <c r="LJ5" s="166"/>
      <c r="LK5" s="166">
        <v>335236</v>
      </c>
      <c r="LL5" s="166"/>
      <c r="LM5" s="166">
        <v>502730</v>
      </c>
      <c r="LN5" s="166"/>
      <c r="LO5" s="166">
        <v>398686</v>
      </c>
      <c r="LP5" s="166"/>
      <c r="LQ5" s="166">
        <v>1185560</v>
      </c>
      <c r="LR5" s="166"/>
      <c r="LS5" s="166">
        <v>1346485</v>
      </c>
      <c r="LT5" s="166"/>
      <c r="LU5" s="166">
        <v>283172</v>
      </c>
      <c r="LV5" s="166"/>
      <c r="LW5" s="166">
        <v>220690</v>
      </c>
      <c r="LX5" s="166"/>
      <c r="LY5" s="166">
        <v>1053058</v>
      </c>
      <c r="LZ5" s="156"/>
      <c r="MA5" s="166">
        <v>1264187</v>
      </c>
      <c r="MB5" s="156"/>
      <c r="MC5" s="166">
        <v>319136</v>
      </c>
      <c r="MD5" s="156"/>
      <c r="ME5" s="166">
        <v>372305</v>
      </c>
      <c r="MF5" s="156"/>
      <c r="MG5" s="166">
        <v>733922</v>
      </c>
      <c r="MH5" s="156"/>
      <c r="MI5" s="166">
        <v>891882</v>
      </c>
      <c r="MJ5" s="156"/>
      <c r="MK5" s="166">
        <v>335236</v>
      </c>
      <c r="ML5" s="156"/>
      <c r="MM5" s="166">
        <v>311084</v>
      </c>
      <c r="MN5" s="156"/>
      <c r="MO5" s="166">
        <v>398686</v>
      </c>
      <c r="MP5" s="156"/>
      <c r="MQ5" s="166">
        <v>580798</v>
      </c>
      <c r="MR5" s="156"/>
      <c r="MS5" s="156"/>
      <c r="MT5" s="156"/>
      <c r="MU5" s="156"/>
      <c r="MV5" s="156"/>
      <c r="MW5" s="156"/>
      <c r="MX5" s="156"/>
      <c r="MY5" s="156"/>
      <c r="MZ5" s="156"/>
      <c r="NA5" s="156"/>
      <c r="NB5" s="156"/>
      <c r="NC5" s="156"/>
      <c r="ND5" s="156"/>
      <c r="NE5" s="156"/>
      <c r="NF5" s="156"/>
      <c r="NG5" s="156"/>
      <c r="NH5" s="156"/>
      <c r="NI5" s="156"/>
      <c r="NJ5" s="156"/>
      <c r="NK5" s="156"/>
      <c r="NL5" s="156"/>
      <c r="NM5" s="156"/>
      <c r="NN5" s="156"/>
      <c r="NO5" s="156"/>
      <c r="NP5" s="156"/>
      <c r="NQ5" s="156"/>
      <c r="NR5" s="156"/>
      <c r="NS5" s="156"/>
      <c r="NT5" s="156"/>
      <c r="NU5" s="156"/>
      <c r="NV5" s="156"/>
      <c r="NW5" s="156"/>
      <c r="NX5" s="156"/>
      <c r="NY5" s="156"/>
      <c r="NZ5" s="156"/>
      <c r="OA5" s="156"/>
      <c r="OB5" s="156"/>
      <c r="OC5" s="156"/>
      <c r="OD5" s="156"/>
      <c r="OE5" s="156"/>
      <c r="OF5" s="156"/>
      <c r="OG5" s="156"/>
      <c r="OH5" s="156"/>
      <c r="OI5" s="156"/>
      <c r="OJ5" s="156"/>
      <c r="OK5" s="156"/>
      <c r="OL5" s="156"/>
      <c r="OM5" s="156"/>
      <c r="ON5" s="156"/>
      <c r="OO5" s="156"/>
      <c r="OP5" s="156"/>
      <c r="OQ5" s="156"/>
      <c r="OR5" s="156"/>
      <c r="OS5" s="156"/>
      <c r="OT5" s="156"/>
      <c r="OU5" s="156"/>
      <c r="OV5" s="156"/>
      <c r="OW5" s="156"/>
      <c r="OX5" s="156"/>
      <c r="OY5" s="156"/>
      <c r="OZ5" s="156"/>
      <c r="PA5" s="156"/>
      <c r="PB5" s="156"/>
      <c r="PC5" s="156"/>
      <c r="PD5" s="156"/>
      <c r="PE5" s="156"/>
      <c r="PF5" s="156"/>
      <c r="PG5" s="156"/>
      <c r="PH5" s="156"/>
      <c r="PI5" s="156"/>
      <c r="PJ5" s="156"/>
      <c r="PK5" s="156"/>
      <c r="PL5" s="156"/>
      <c r="PM5" s="156"/>
      <c r="PN5" s="156"/>
      <c r="PO5" s="156"/>
      <c r="PP5" s="156"/>
      <c r="PQ5" s="156"/>
    </row>
    <row r="6" spans="1:433">
      <c r="A6" s="7" t="s">
        <v>1</v>
      </c>
      <c r="B6" s="13" t="s">
        <v>369</v>
      </c>
      <c r="C6" s="13"/>
      <c r="D6" s="736">
        <f>('[3]segmenty prez'!$I$38)*1000</f>
        <v>2423000</v>
      </c>
      <c r="E6" s="735"/>
      <c r="F6" s="736">
        <f>('[3]segmenty prez'!$I$77)*1000</f>
        <v>2283000</v>
      </c>
      <c r="G6" s="13"/>
      <c r="H6" s="736">
        <f>('[3]segmenty 3 m-ce PREZ'!$I$28)*1000</f>
        <v>1275000</v>
      </c>
      <c r="I6" s="13"/>
      <c r="J6" s="736">
        <f>('[3]segmenty 3 m-ce PREZ'!$I$60)*1000</f>
        <v>1211000</v>
      </c>
      <c r="K6" s="13"/>
      <c r="L6" s="736">
        <f>('[4]segmenty prez'!$I$38)*1000</f>
        <v>1148000</v>
      </c>
      <c r="M6" s="733"/>
      <c r="N6" s="737">
        <f>AN6</f>
        <v>1072000</v>
      </c>
      <c r="O6" s="13"/>
      <c r="P6" s="736">
        <f>[5]segmenty!$I$39*1000</f>
        <v>5641000</v>
      </c>
      <c r="Q6" s="13"/>
      <c r="R6" s="694">
        <f>[5]segmenty!$I$79*1000</f>
        <v>5127000</v>
      </c>
      <c r="S6" s="13"/>
      <c r="T6" s="688">
        <f>P6-X6</f>
        <v>1974000</v>
      </c>
      <c r="U6" s="13"/>
      <c r="V6" s="694">
        <f>R6-Z6</f>
        <v>1478000</v>
      </c>
      <c r="W6" s="13"/>
      <c r="X6" s="321">
        <f>'[6]segmenty prez'!$I$35*1000</f>
        <v>3667000</v>
      </c>
      <c r="Y6" s="166"/>
      <c r="Z6" s="374">
        <f>'[6]segmenty prez'!$I$71*1000</f>
        <v>3649000</v>
      </c>
      <c r="AA6" s="166"/>
      <c r="AB6" s="321" t="e">
        <f>#REF!*1000</f>
        <v>#REF!</v>
      </c>
      <c r="AC6" s="166"/>
      <c r="AD6" s="374" t="e">
        <f>#REF!*1000</f>
        <v>#REF!</v>
      </c>
      <c r="AE6" s="166"/>
      <c r="AF6" s="321">
        <f>[7]segmenty!$I$37*1000</f>
        <v>2283000</v>
      </c>
      <c r="AG6" s="166"/>
      <c r="AH6" s="374">
        <f>[7]segmenty!$I$75*1000</f>
        <v>1859000</v>
      </c>
      <c r="AI6" s="374"/>
      <c r="AJ6" s="321">
        <f>'[7]segmenty 3 m-ce PREZ'!$I$25*1000</f>
        <v>1211000</v>
      </c>
      <c r="AK6" s="166"/>
      <c r="AL6" s="374">
        <f>'[7]segmenty 3 m-ce PREZ'!$I$54</f>
        <v>1012</v>
      </c>
      <c r="AM6" s="374"/>
      <c r="AN6" s="321">
        <f>[8]segmenty!$I$37*1000</f>
        <v>1072000</v>
      </c>
      <c r="AO6" s="166"/>
      <c r="AP6" s="374">
        <f>BP6</f>
        <v>847000</v>
      </c>
      <c r="AQ6" s="374"/>
      <c r="AR6" s="321">
        <f>[9]segmenty!$I$37*1000</f>
        <v>5127000</v>
      </c>
      <c r="AS6" s="166"/>
      <c r="AT6" s="374">
        <f>[9]segmenty!$I$75*1000</f>
        <v>4364000</v>
      </c>
      <c r="AU6" s="374"/>
      <c r="AV6" s="321">
        <f>[9]segmenty!$I$37*1000-AZ6</f>
        <v>1478000</v>
      </c>
      <c r="AW6" s="166"/>
      <c r="AX6" s="321">
        <f>[9]segmenty!$I$75*1000-BB6</f>
        <v>1477000</v>
      </c>
      <c r="AY6" s="374"/>
      <c r="AZ6" s="321">
        <f>([10]segmenty!$I$37)*1000</f>
        <v>3649000</v>
      </c>
      <c r="BA6" s="166"/>
      <c r="BB6" s="321">
        <f>CB6</f>
        <v>2887000</v>
      </c>
      <c r="BC6" s="374"/>
      <c r="BD6" s="321">
        <f>AZ6-BH6</f>
        <v>1790000</v>
      </c>
      <c r="BE6" s="166"/>
      <c r="BF6" s="321">
        <f>BB6-BJ6</f>
        <v>1022000</v>
      </c>
      <c r="BG6" s="374"/>
      <c r="BH6" s="321">
        <v>1859000</v>
      </c>
      <c r="BI6" s="166"/>
      <c r="BJ6" s="321">
        <v>1865000</v>
      </c>
      <c r="BK6" s="374"/>
      <c r="BL6" s="321">
        <f t="shared" si="0"/>
        <v>1012000</v>
      </c>
      <c r="BM6" s="166"/>
      <c r="BN6" s="321">
        <f t="shared" si="0"/>
        <v>1085000</v>
      </c>
      <c r="BO6" s="166"/>
      <c r="BP6" s="321">
        <f>[11]segmenty!$H$37*1000</f>
        <v>847000</v>
      </c>
      <c r="BQ6" s="166"/>
      <c r="BR6" s="374">
        <f>[11]segmenty!$H$75*1000</f>
        <v>780000</v>
      </c>
      <c r="BS6" s="166"/>
      <c r="BT6" s="321">
        <f>[12]segmenty!$H$37*1000</f>
        <v>4364000</v>
      </c>
      <c r="BU6" s="166"/>
      <c r="BV6" s="374">
        <f>CV6</f>
        <v>3962000</v>
      </c>
      <c r="BW6" s="374"/>
      <c r="BX6" s="321">
        <f>BT6-CB6</f>
        <v>1477000</v>
      </c>
      <c r="BY6" s="166"/>
      <c r="BZ6" s="374">
        <f>CZ6</f>
        <v>1363000</v>
      </c>
      <c r="CA6" s="374"/>
      <c r="CB6" s="321">
        <f>([13]segmenty!$H$37)*1000</f>
        <v>2887000</v>
      </c>
      <c r="CC6" s="166"/>
      <c r="CD6" s="374">
        <f>DD6</f>
        <v>2599000</v>
      </c>
      <c r="CE6" s="374"/>
      <c r="CF6" s="321">
        <f>'[13]segmenty 3 m-ce'!$H$87*1000</f>
        <v>1022000</v>
      </c>
      <c r="CG6" s="166"/>
      <c r="CH6" s="374">
        <f>DH6</f>
        <v>1118000</v>
      </c>
      <c r="CI6" s="374"/>
      <c r="CJ6" s="321">
        <f>[14]segmenty!$H$37*1000</f>
        <v>1865000</v>
      </c>
      <c r="CK6" s="166"/>
      <c r="CL6" s="374">
        <f>[14]segmenty!$K$75*1000</f>
        <v>1481000</v>
      </c>
      <c r="CM6" s="374"/>
      <c r="CN6" s="321">
        <f t="shared" si="1"/>
        <v>1085000</v>
      </c>
      <c r="CO6" s="166"/>
      <c r="CP6" s="374">
        <f t="shared" si="1"/>
        <v>871000</v>
      </c>
      <c r="CQ6" s="374"/>
      <c r="CR6" s="321">
        <f>[15]segmenty!$H$37*1000</f>
        <v>780000</v>
      </c>
      <c r="CS6" s="166"/>
      <c r="CT6" s="374">
        <f>[15]segmenty!$K$74*1000</f>
        <v>610000</v>
      </c>
      <c r="CU6" s="374"/>
      <c r="CV6" s="321">
        <v>3962000</v>
      </c>
      <c r="CW6" s="166"/>
      <c r="CX6" s="374">
        <v>2932000</v>
      </c>
      <c r="CY6" s="374"/>
      <c r="CZ6" s="321">
        <f t="shared" si="2"/>
        <v>1363000</v>
      </c>
      <c r="DA6" s="166"/>
      <c r="DB6" s="374">
        <f t="shared" si="2"/>
        <v>970000</v>
      </c>
      <c r="DC6" s="374"/>
      <c r="DD6" s="321">
        <v>2599000</v>
      </c>
      <c r="DE6" s="166"/>
      <c r="DF6" s="374">
        <v>1962000</v>
      </c>
      <c r="DG6" s="374"/>
      <c r="DH6" s="321">
        <v>1118000</v>
      </c>
      <c r="DI6" s="166"/>
      <c r="DJ6" s="374">
        <v>676000</v>
      </c>
      <c r="DK6" s="374"/>
      <c r="DL6" s="321">
        <v>1481000</v>
      </c>
      <c r="DM6" s="166"/>
      <c r="DN6" s="374">
        <v>1286000</v>
      </c>
      <c r="DO6" s="374"/>
      <c r="DP6" s="321">
        <f>DL6-DT6</f>
        <v>871000</v>
      </c>
      <c r="DQ6" s="166"/>
      <c r="DR6" s="374">
        <f>DN6-DV6</f>
        <v>648000</v>
      </c>
      <c r="DS6" s="374"/>
      <c r="DT6" s="321">
        <v>610000</v>
      </c>
      <c r="DU6" s="166"/>
      <c r="DV6" s="374">
        <v>638000</v>
      </c>
      <c r="DW6" s="374"/>
      <c r="DX6" s="321">
        <v>2932000</v>
      </c>
      <c r="DY6" s="166"/>
      <c r="DZ6" s="374">
        <v>4039000</v>
      </c>
      <c r="EA6" s="374"/>
      <c r="EB6" s="321">
        <f>DX6-EF6</f>
        <v>968858</v>
      </c>
      <c r="EC6" s="166"/>
      <c r="ED6" s="374">
        <f>DZ6-EH6</f>
        <v>1311397</v>
      </c>
      <c r="EE6" s="374"/>
      <c r="EF6" s="321">
        <v>1963142</v>
      </c>
      <c r="EG6" s="166"/>
      <c r="EH6" s="374">
        <v>2727603</v>
      </c>
      <c r="EI6" s="374"/>
      <c r="EJ6" s="321">
        <f>EF6-EN6</f>
        <v>676010</v>
      </c>
      <c r="EK6" s="166"/>
      <c r="EL6" s="374">
        <f>EH6-EP6</f>
        <v>915322</v>
      </c>
      <c r="EM6" s="374"/>
      <c r="EN6" s="321">
        <v>1287132</v>
      </c>
      <c r="EO6" s="166"/>
      <c r="EP6" s="374">
        <v>1812281</v>
      </c>
      <c r="EQ6" s="374"/>
      <c r="ER6" s="321">
        <f t="shared" si="3"/>
        <v>648184</v>
      </c>
      <c r="ES6" s="166"/>
      <c r="ET6" s="374">
        <f t="shared" si="3"/>
        <v>872439</v>
      </c>
      <c r="EU6" s="374"/>
      <c r="EV6" s="321">
        <v>638948</v>
      </c>
      <c r="EW6" s="166"/>
      <c r="EX6" s="374">
        <f>FX6</f>
        <v>939842</v>
      </c>
      <c r="EY6" s="374"/>
      <c r="EZ6" s="321">
        <v>4039294</v>
      </c>
      <c r="FA6" s="166"/>
      <c r="FB6" s="374">
        <v>4127891</v>
      </c>
      <c r="FC6" s="374"/>
      <c r="FD6" s="321">
        <f>EZ6-FH6</f>
        <v>1311691</v>
      </c>
      <c r="FE6" s="166"/>
      <c r="FF6" s="321">
        <f>FB6-FJ6</f>
        <v>1386910</v>
      </c>
      <c r="FG6" s="13"/>
      <c r="FH6" s="321">
        <v>2727603</v>
      </c>
      <c r="FI6" s="166"/>
      <c r="FJ6" s="374">
        <v>2740981</v>
      </c>
      <c r="FK6" s="374"/>
      <c r="FL6" s="321">
        <f t="shared" si="4"/>
        <v>915322</v>
      </c>
      <c r="FM6" s="166"/>
      <c r="FN6" s="321">
        <f t="shared" si="4"/>
        <v>1098880</v>
      </c>
      <c r="FO6" s="13"/>
      <c r="FP6" s="321">
        <v>1812281</v>
      </c>
      <c r="FQ6" s="166"/>
      <c r="FR6" s="374">
        <v>1642101</v>
      </c>
      <c r="FS6" s="374"/>
      <c r="FT6" s="321">
        <v>872439</v>
      </c>
      <c r="FU6" s="166"/>
      <c r="FV6" s="374">
        <v>915557</v>
      </c>
      <c r="FW6" s="374"/>
      <c r="FX6" s="321">
        <v>939842</v>
      </c>
      <c r="FY6" s="166"/>
      <c r="FZ6" s="374">
        <v>726544</v>
      </c>
      <c r="GA6" s="374"/>
      <c r="GB6" s="353">
        <v>4127891</v>
      </c>
      <c r="GD6" s="374">
        <v>3837860</v>
      </c>
      <c r="GE6" s="355"/>
      <c r="GF6" s="353">
        <v>1386910</v>
      </c>
      <c r="GH6" s="374">
        <v>1393647</v>
      </c>
      <c r="GI6" s="374"/>
      <c r="GJ6" s="374">
        <v>2740981</v>
      </c>
      <c r="GK6" s="374"/>
      <c r="GL6" s="374">
        <v>2444213</v>
      </c>
      <c r="GM6" s="355"/>
      <c r="GN6" s="374">
        <v>1098880</v>
      </c>
      <c r="GO6" s="374"/>
      <c r="GP6" s="374">
        <v>883714</v>
      </c>
      <c r="GQ6" s="374"/>
      <c r="GR6" s="355"/>
      <c r="GS6" s="374">
        <v>1642101</v>
      </c>
      <c r="GT6" s="374"/>
      <c r="GU6" s="374">
        <v>1560499</v>
      </c>
      <c r="GV6" s="355"/>
      <c r="GW6" s="374">
        <v>915557</v>
      </c>
      <c r="GX6" s="374"/>
      <c r="GY6" s="374">
        <v>954016</v>
      </c>
      <c r="GZ6" s="355"/>
      <c r="HA6" s="374">
        <v>726544</v>
      </c>
      <c r="HB6" s="374"/>
      <c r="HC6" s="374">
        <v>606483</v>
      </c>
      <c r="HD6" s="374"/>
      <c r="HE6" s="374">
        <v>3672005</v>
      </c>
      <c r="HF6" s="374"/>
      <c r="HG6" s="374">
        <v>3474148</v>
      </c>
      <c r="HH6" s="355"/>
      <c r="HI6" s="374">
        <v>1347284</v>
      </c>
      <c r="HK6" s="374">
        <v>1256787</v>
      </c>
      <c r="HL6" s="355"/>
      <c r="HM6" s="374">
        <v>2324721</v>
      </c>
      <c r="HN6" s="374"/>
      <c r="HO6" s="374">
        <v>2217361</v>
      </c>
      <c r="HP6" s="355"/>
      <c r="HQ6" s="374">
        <v>844391</v>
      </c>
      <c r="HS6" s="374">
        <v>722119</v>
      </c>
      <c r="HT6" s="13"/>
      <c r="HU6" s="166">
        <v>1480330</v>
      </c>
      <c r="HV6" s="166"/>
      <c r="HW6" s="166">
        <v>1495242</v>
      </c>
      <c r="HX6" s="188"/>
      <c r="HY6" s="166">
        <v>911630</v>
      </c>
      <c r="IA6" s="166">
        <v>859154</v>
      </c>
      <c r="IB6" s="188"/>
      <c r="IC6" s="190">
        <v>568700</v>
      </c>
      <c r="ID6" s="166"/>
      <c r="IE6" s="166">
        <v>636088</v>
      </c>
      <c r="IF6" s="14"/>
      <c r="IG6" s="190">
        <v>3474148</v>
      </c>
      <c r="IH6" s="166"/>
      <c r="II6" s="166">
        <v>3816811</v>
      </c>
      <c r="IJ6" s="188"/>
      <c r="IK6" s="190">
        <v>1256787</v>
      </c>
      <c r="IL6" s="166"/>
      <c r="IM6" s="166">
        <v>1366994</v>
      </c>
      <c r="IN6" s="188"/>
      <c r="IO6" s="190">
        <f>IS6-IW6</f>
        <v>722119</v>
      </c>
      <c r="IP6" s="166"/>
      <c r="IQ6" s="166">
        <f>IU6-IY6</f>
        <v>997687</v>
      </c>
      <c r="IR6" s="188"/>
      <c r="IS6" s="190">
        <v>2217361</v>
      </c>
      <c r="IT6" s="166"/>
      <c r="IU6" s="166">
        <v>2449817</v>
      </c>
      <c r="IV6" s="188"/>
      <c r="IW6" s="190">
        <v>1495242</v>
      </c>
      <c r="IX6" s="166"/>
      <c r="IY6" s="166">
        <v>1452130</v>
      </c>
      <c r="IZ6" s="188"/>
      <c r="JA6" s="190">
        <f>IW6-JE6</f>
        <v>859154</v>
      </c>
      <c r="JB6" s="166"/>
      <c r="JC6" s="166">
        <f>IY6-JG6</f>
        <v>798407</v>
      </c>
      <c r="JD6" s="188"/>
      <c r="JE6" s="190">
        <v>636088</v>
      </c>
      <c r="JF6" s="166"/>
      <c r="JG6" s="166">
        <v>653723</v>
      </c>
      <c r="JH6" s="188"/>
      <c r="JI6" s="190">
        <v>3816811</v>
      </c>
      <c r="JJ6" s="166"/>
      <c r="JK6" s="166">
        <v>4175470</v>
      </c>
      <c r="JL6" s="188"/>
      <c r="JM6" s="188"/>
      <c r="JN6" s="190">
        <v>1366994</v>
      </c>
      <c r="JO6" s="166"/>
      <c r="JP6" s="166">
        <v>1396598</v>
      </c>
      <c r="JQ6" s="190"/>
      <c r="JR6" s="190">
        <v>2449817</v>
      </c>
      <c r="JS6" s="166"/>
      <c r="JT6" s="166">
        <v>2778872</v>
      </c>
      <c r="JU6" s="188"/>
      <c r="JV6" s="188"/>
      <c r="JW6" s="190">
        <v>997687</v>
      </c>
      <c r="JX6" s="166"/>
      <c r="JY6" s="166">
        <v>1008145</v>
      </c>
      <c r="JZ6" s="188"/>
      <c r="KA6" s="188"/>
      <c r="KB6" s="190">
        <v>1452130</v>
      </c>
      <c r="KC6" s="166"/>
      <c r="KD6" s="166">
        <v>1770727</v>
      </c>
      <c r="KE6" s="188"/>
      <c r="KF6" s="188"/>
      <c r="KG6" s="190">
        <v>798407</v>
      </c>
      <c r="KH6" s="166"/>
      <c r="KI6" s="166">
        <v>979049</v>
      </c>
      <c r="KJ6" s="188"/>
      <c r="KK6" s="190">
        <v>653723</v>
      </c>
      <c r="KL6" s="166"/>
      <c r="KM6" s="166">
        <v>791678</v>
      </c>
      <c r="KN6" s="188"/>
      <c r="KO6" s="166">
        <v>4175470</v>
      </c>
      <c r="KP6" s="188"/>
      <c r="KQ6" s="166">
        <v>3089592</v>
      </c>
      <c r="KR6" s="188"/>
      <c r="KS6" s="166">
        <v>1396598</v>
      </c>
      <c r="KT6" s="188"/>
      <c r="KU6" s="166">
        <v>1079388</v>
      </c>
      <c r="KV6" s="188"/>
      <c r="KW6" s="166">
        <v>2778872</v>
      </c>
      <c r="KX6" s="166"/>
      <c r="KY6" s="166">
        <v>2010204</v>
      </c>
      <c r="KZ6" s="166"/>
      <c r="LA6" s="166">
        <v>1008145</v>
      </c>
      <c r="LB6" s="166"/>
      <c r="LC6" s="166">
        <v>760127</v>
      </c>
      <c r="LD6" s="166"/>
      <c r="LE6" s="166">
        <v>1770727</v>
      </c>
      <c r="LF6" s="166"/>
      <c r="LG6" s="166">
        <v>1250077</v>
      </c>
      <c r="LH6" s="166"/>
      <c r="LI6" s="166">
        <v>979049</v>
      </c>
      <c r="LJ6" s="166"/>
      <c r="LK6" s="166">
        <v>684767</v>
      </c>
      <c r="LL6" s="166"/>
      <c r="LM6" s="166">
        <v>791678</v>
      </c>
      <c r="LN6" s="166"/>
      <c r="LO6" s="166">
        <v>565310</v>
      </c>
      <c r="LP6" s="166"/>
      <c r="LQ6" s="166">
        <v>3089592</v>
      </c>
      <c r="LR6" s="193"/>
      <c r="LS6" s="166">
        <v>3779555</v>
      </c>
      <c r="LT6" s="193"/>
      <c r="LU6" s="166">
        <v>1079388</v>
      </c>
      <c r="LV6" s="193"/>
      <c r="LW6" s="166">
        <v>1411162</v>
      </c>
      <c r="LX6" s="166"/>
      <c r="LY6" s="166">
        <v>2010204</v>
      </c>
      <c r="LZ6" s="156"/>
      <c r="MA6" s="166">
        <v>2368393</v>
      </c>
      <c r="MB6" s="156"/>
      <c r="MC6" s="166">
        <v>760127</v>
      </c>
      <c r="MD6" s="156"/>
      <c r="ME6" s="166">
        <v>1018451</v>
      </c>
      <c r="MF6" s="156"/>
      <c r="MG6" s="166">
        <v>1250077</v>
      </c>
      <c r="MH6" s="156"/>
      <c r="MI6" s="166">
        <v>1349942</v>
      </c>
      <c r="MJ6" s="156"/>
      <c r="MK6" s="166">
        <v>684767</v>
      </c>
      <c r="ML6" s="156"/>
      <c r="MM6" s="166">
        <v>809087</v>
      </c>
      <c r="MN6" s="156"/>
      <c r="MO6" s="166">
        <v>565310</v>
      </c>
      <c r="MP6" s="156"/>
      <c r="MQ6" s="166">
        <v>540855</v>
      </c>
      <c r="MR6" s="156"/>
      <c r="MS6" s="156"/>
      <c r="MT6" s="156"/>
      <c r="MU6" s="156"/>
      <c r="MV6" s="156"/>
      <c r="MW6" s="156"/>
      <c r="MX6" s="156"/>
      <c r="MY6" s="156"/>
      <c r="MZ6" s="156"/>
      <c r="NA6" s="156"/>
      <c r="NB6" s="156"/>
      <c r="NC6" s="156"/>
      <c r="ND6" s="156"/>
      <c r="NE6" s="156"/>
      <c r="NF6" s="156"/>
      <c r="NG6" s="156"/>
      <c r="NH6" s="156"/>
      <c r="NI6" s="156"/>
      <c r="NJ6" s="156"/>
      <c r="NK6" s="156"/>
      <c r="NL6" s="156"/>
      <c r="NM6" s="156"/>
      <c r="NN6" s="156"/>
      <c r="NO6" s="156"/>
      <c r="NP6" s="156"/>
      <c r="NQ6" s="156"/>
      <c r="NR6" s="156"/>
      <c r="NS6" s="156"/>
      <c r="NT6" s="156"/>
      <c r="NU6" s="156"/>
      <c r="NV6" s="156"/>
      <c r="NW6" s="156"/>
      <c r="NX6" s="156"/>
      <c r="NY6" s="156"/>
      <c r="NZ6" s="156"/>
      <c r="OA6" s="156"/>
      <c r="OB6" s="156"/>
      <c r="OC6" s="156"/>
      <c r="OD6" s="156"/>
      <c r="OE6" s="156"/>
      <c r="OF6" s="156"/>
      <c r="OG6" s="156"/>
      <c r="OH6" s="156"/>
      <c r="OI6" s="156"/>
      <c r="OJ6" s="156"/>
      <c r="OK6" s="156"/>
      <c r="OL6" s="156"/>
      <c r="OM6" s="156"/>
      <c r="ON6" s="156"/>
      <c r="OO6" s="156"/>
      <c r="OP6" s="156"/>
      <c r="OQ6" s="156"/>
      <c r="OR6" s="156"/>
      <c r="OS6" s="156"/>
      <c r="OT6" s="156"/>
      <c r="OU6" s="156"/>
      <c r="OV6" s="156"/>
      <c r="OW6" s="156"/>
      <c r="OX6" s="156"/>
      <c r="OY6" s="156"/>
      <c r="OZ6" s="156"/>
      <c r="PA6" s="156"/>
      <c r="PB6" s="156"/>
      <c r="PC6" s="156"/>
      <c r="PD6" s="156"/>
      <c r="PE6" s="156"/>
      <c r="PF6" s="156"/>
      <c r="PG6" s="156"/>
      <c r="PH6" s="156"/>
      <c r="PI6" s="156"/>
      <c r="PJ6" s="156"/>
      <c r="PK6" s="156"/>
      <c r="PL6" s="156"/>
      <c r="PM6" s="156"/>
      <c r="PN6" s="156"/>
      <c r="PO6" s="156"/>
      <c r="PP6" s="156"/>
      <c r="PQ6" s="156"/>
    </row>
    <row r="7" spans="1:433" s="814" customFormat="1">
      <c r="A7" s="788" t="s">
        <v>48</v>
      </c>
      <c r="B7" s="789"/>
      <c r="C7" s="790"/>
      <c r="D7" s="791">
        <v>1.2</v>
      </c>
      <c r="E7" s="792"/>
      <c r="F7" s="791">
        <v>1.5</v>
      </c>
      <c r="G7" s="790"/>
      <c r="H7" s="791">
        <f>D7</f>
        <v>1.2</v>
      </c>
      <c r="I7" s="790"/>
      <c r="J7" s="791">
        <f>AJ7</f>
        <v>1.5</v>
      </c>
      <c r="K7" s="790"/>
      <c r="L7" s="791">
        <v>1.4</v>
      </c>
      <c r="M7" s="793"/>
      <c r="N7" s="794">
        <f>AN7</f>
        <v>1.6</v>
      </c>
      <c r="O7" s="790"/>
      <c r="P7" s="791">
        <f>'[16]6.9_Fin i oper 5lat'!$N$38</f>
        <v>1.4</v>
      </c>
      <c r="Q7" s="790"/>
      <c r="R7" s="795">
        <f>'[16]6.9_Fin i oper 5lat'!$M$38</f>
        <v>1.7</v>
      </c>
      <c r="S7" s="790"/>
      <c r="T7" s="796">
        <v>1.4</v>
      </c>
      <c r="U7" s="790"/>
      <c r="V7" s="795">
        <v>1.7</v>
      </c>
      <c r="W7" s="790"/>
      <c r="X7" s="797">
        <v>1.4</v>
      </c>
      <c r="Y7" s="798"/>
      <c r="Z7" s="799">
        <v>2.4</v>
      </c>
      <c r="AA7" s="798"/>
      <c r="AB7" s="797">
        <v>1.4</v>
      </c>
      <c r="AC7" s="798"/>
      <c r="AD7" s="799">
        <v>2.4</v>
      </c>
      <c r="AE7" s="798"/>
      <c r="AF7" s="797">
        <v>1.51</v>
      </c>
      <c r="AG7" s="798"/>
      <c r="AH7" s="799">
        <v>1.94</v>
      </c>
      <c r="AI7" s="800"/>
      <c r="AJ7" s="797">
        <v>1.5</v>
      </c>
      <c r="AK7" s="798"/>
      <c r="AL7" s="799">
        <v>1.9</v>
      </c>
      <c r="AM7" s="800"/>
      <c r="AN7" s="797">
        <v>1.6</v>
      </c>
      <c r="AO7" s="798"/>
      <c r="AP7" s="799">
        <f>BP7</f>
        <v>2.2000000000000002</v>
      </c>
      <c r="AQ7" s="800"/>
      <c r="AR7" s="797"/>
      <c r="AS7" s="798"/>
      <c r="AT7" s="799">
        <f>BT7</f>
        <v>2.11</v>
      </c>
      <c r="AU7" s="800"/>
      <c r="AV7" s="797"/>
      <c r="AW7" s="798"/>
      <c r="AX7" s="797">
        <f>BX7</f>
        <v>2.11</v>
      </c>
      <c r="AY7" s="800"/>
      <c r="AZ7" s="797">
        <v>2.4</v>
      </c>
      <c r="BA7" s="798"/>
      <c r="BB7" s="797">
        <f>CB7</f>
        <v>1.61</v>
      </c>
      <c r="BC7" s="800"/>
      <c r="BD7" s="797">
        <f>AZ7</f>
        <v>2.4</v>
      </c>
      <c r="BE7" s="798"/>
      <c r="BF7" s="797">
        <f>BB7</f>
        <v>1.61</v>
      </c>
      <c r="BG7" s="800"/>
      <c r="BH7" s="797">
        <v>2.1</v>
      </c>
      <c r="BI7" s="798"/>
      <c r="BJ7" s="797">
        <f>CJ7</f>
        <v>2.04</v>
      </c>
      <c r="BK7" s="800"/>
      <c r="BL7" s="797">
        <f>BH7</f>
        <v>2.1</v>
      </c>
      <c r="BM7" s="798"/>
      <c r="BN7" s="797">
        <f>BJ7</f>
        <v>2.04</v>
      </c>
      <c r="BO7" s="798"/>
      <c r="BP7" s="797">
        <v>2.2000000000000002</v>
      </c>
      <c r="BQ7" s="798"/>
      <c r="BR7" s="799">
        <v>3.2</v>
      </c>
      <c r="BS7" s="798"/>
      <c r="BT7" s="797">
        <v>2.11</v>
      </c>
      <c r="BU7" s="798"/>
      <c r="BV7" s="799">
        <f>CV7</f>
        <v>2.93</v>
      </c>
      <c r="BW7" s="800"/>
      <c r="BX7" s="797">
        <v>2.11</v>
      </c>
      <c r="BY7" s="798"/>
      <c r="BZ7" s="799">
        <f>CZ7</f>
        <v>2.93</v>
      </c>
      <c r="CA7" s="800"/>
      <c r="CB7" s="797">
        <v>1.61</v>
      </c>
      <c r="CC7" s="798"/>
      <c r="CD7" s="799">
        <f>DD7</f>
        <v>3.33</v>
      </c>
      <c r="CE7" s="800"/>
      <c r="CF7" s="797">
        <v>1.61</v>
      </c>
      <c r="CG7" s="798"/>
      <c r="CH7" s="799">
        <f>DH7</f>
        <v>3.33</v>
      </c>
      <c r="CI7" s="800"/>
      <c r="CJ7" s="797">
        <v>2.04</v>
      </c>
      <c r="CK7" s="798"/>
      <c r="CL7" s="799">
        <f>DL7</f>
        <v>2.86</v>
      </c>
      <c r="CM7" s="800"/>
      <c r="CN7" s="797">
        <f>CJ7</f>
        <v>2.04</v>
      </c>
      <c r="CO7" s="798"/>
      <c r="CP7" s="799">
        <f>CL7</f>
        <v>2.86</v>
      </c>
      <c r="CQ7" s="800"/>
      <c r="CR7" s="797">
        <v>3.23</v>
      </c>
      <c r="CS7" s="798"/>
      <c r="CT7" s="799">
        <f>DP7</f>
        <v>2.59</v>
      </c>
      <c r="CU7" s="800"/>
      <c r="CV7" s="797">
        <v>2.93</v>
      </c>
      <c r="CW7" s="798"/>
      <c r="CX7" s="799">
        <f>DX7</f>
        <v>2.44</v>
      </c>
      <c r="CY7" s="800"/>
      <c r="CZ7" s="797">
        <f>CV7</f>
        <v>2.93</v>
      </c>
      <c r="DA7" s="798"/>
      <c r="DB7" s="797">
        <f>CX7</f>
        <v>2.44</v>
      </c>
      <c r="DC7" s="800"/>
      <c r="DD7" s="797">
        <v>3.33</v>
      </c>
      <c r="DE7" s="798"/>
      <c r="DF7" s="799">
        <f>EF7</f>
        <v>1.97</v>
      </c>
      <c r="DG7" s="800"/>
      <c r="DH7" s="797">
        <f>DD7</f>
        <v>3.33</v>
      </c>
      <c r="DI7" s="798"/>
      <c r="DJ7" s="797">
        <f>DF7</f>
        <v>1.97</v>
      </c>
      <c r="DK7" s="800"/>
      <c r="DL7" s="797">
        <v>2.86</v>
      </c>
      <c r="DM7" s="798"/>
      <c r="DN7" s="799">
        <f>EN7</f>
        <v>2.06</v>
      </c>
      <c r="DO7" s="800"/>
      <c r="DP7" s="797">
        <v>2.59</v>
      </c>
      <c r="DQ7" s="798"/>
      <c r="DR7" s="799">
        <f>ER7</f>
        <v>2.06</v>
      </c>
      <c r="DS7" s="800"/>
      <c r="DT7" s="797">
        <v>2.59</v>
      </c>
      <c r="DU7" s="798"/>
      <c r="DV7" s="799">
        <f>EV7</f>
        <v>1.96</v>
      </c>
      <c r="DW7" s="800"/>
      <c r="DX7" s="797">
        <v>2.44</v>
      </c>
      <c r="DY7" s="798"/>
      <c r="DZ7" s="799">
        <f>EZ7</f>
        <v>2.5099999999999998</v>
      </c>
      <c r="EA7" s="800"/>
      <c r="EB7" s="797">
        <f>DX7</f>
        <v>2.44</v>
      </c>
      <c r="EC7" s="798"/>
      <c r="ED7" s="799">
        <f>DZ7</f>
        <v>2.5099999999999998</v>
      </c>
      <c r="EE7" s="800"/>
      <c r="EF7" s="797">
        <v>1.97</v>
      </c>
      <c r="EG7" s="798"/>
      <c r="EH7" s="799">
        <f>FH7</f>
        <v>2.5299999999999998</v>
      </c>
      <c r="EI7" s="800"/>
      <c r="EJ7" s="797">
        <f>EF7</f>
        <v>1.97</v>
      </c>
      <c r="EK7" s="798"/>
      <c r="EL7" s="799">
        <f>EH7</f>
        <v>2.5299999999999998</v>
      </c>
      <c r="EM7" s="800"/>
      <c r="EN7" s="797">
        <v>2.06</v>
      </c>
      <c r="EO7" s="798"/>
      <c r="EP7" s="799">
        <v>2.66</v>
      </c>
      <c r="EQ7" s="800"/>
      <c r="ER7" s="797">
        <f>EN7</f>
        <v>2.06</v>
      </c>
      <c r="ES7" s="798"/>
      <c r="ET7" s="799">
        <f>EP7</f>
        <v>2.66</v>
      </c>
      <c r="EU7" s="800"/>
      <c r="EV7" s="797">
        <v>1.96</v>
      </c>
      <c r="EW7" s="798"/>
      <c r="EX7" s="799">
        <f>FX7</f>
        <v>3.27</v>
      </c>
      <c r="EY7" s="800"/>
      <c r="EZ7" s="797">
        <v>2.5099999999999998</v>
      </c>
      <c r="FA7" s="798"/>
      <c r="FB7" s="799">
        <f>GB7</f>
        <v>2.81</v>
      </c>
      <c r="FC7" s="800"/>
      <c r="FD7" s="797">
        <f>EZ7</f>
        <v>2.5099999999999998</v>
      </c>
      <c r="FE7" s="798"/>
      <c r="FF7" s="797">
        <f>FB7</f>
        <v>2.81</v>
      </c>
      <c r="FG7" s="789"/>
      <c r="FH7" s="797">
        <v>2.5299999999999998</v>
      </c>
      <c r="FI7" s="798"/>
      <c r="FJ7" s="799">
        <f>GJ7</f>
        <v>2.83</v>
      </c>
      <c r="FK7" s="800"/>
      <c r="FL7" s="797">
        <f>FH7</f>
        <v>2.5299999999999998</v>
      </c>
      <c r="FM7" s="798"/>
      <c r="FN7" s="797">
        <f>FJ7</f>
        <v>2.83</v>
      </c>
      <c r="FO7" s="789"/>
      <c r="FP7" s="797">
        <v>2.66</v>
      </c>
      <c r="FQ7" s="798"/>
      <c r="FR7" s="799">
        <v>2.6</v>
      </c>
      <c r="FS7" s="800"/>
      <c r="FT7" s="797">
        <f>FP7</f>
        <v>2.66</v>
      </c>
      <c r="FU7" s="798"/>
      <c r="FV7" s="799">
        <f>FR7</f>
        <v>2.6</v>
      </c>
      <c r="FW7" s="800"/>
      <c r="FX7" s="797">
        <v>3.27</v>
      </c>
      <c r="FY7" s="798"/>
      <c r="FZ7" s="799">
        <v>2.74</v>
      </c>
      <c r="GA7" s="800"/>
      <c r="GB7" s="801">
        <v>2.81</v>
      </c>
      <c r="GC7" s="802"/>
      <c r="GD7" s="799">
        <v>2.4500000000000002</v>
      </c>
      <c r="GE7" s="803"/>
      <c r="GF7" s="801">
        <v>2.81</v>
      </c>
      <c r="GG7" s="802"/>
      <c r="GH7" s="799">
        <v>2.4500000000000002</v>
      </c>
      <c r="GI7" s="800"/>
      <c r="GJ7" s="804">
        <v>2.83</v>
      </c>
      <c r="GK7" s="802"/>
      <c r="GL7" s="799">
        <v>2.2400000000000002</v>
      </c>
      <c r="GM7" s="803"/>
      <c r="GN7" s="804">
        <v>2.83</v>
      </c>
      <c r="GO7" s="802"/>
      <c r="GP7" s="799">
        <v>2.2400000000000002</v>
      </c>
      <c r="GQ7" s="800"/>
      <c r="GR7" s="803"/>
      <c r="GS7" s="804">
        <v>2.6</v>
      </c>
      <c r="GT7" s="802"/>
      <c r="GU7" s="799">
        <v>2.2999999999999998</v>
      </c>
      <c r="GV7" s="803"/>
      <c r="GW7" s="804">
        <v>2.6</v>
      </c>
      <c r="GX7" s="802"/>
      <c r="GY7" s="799">
        <v>2.2999999999999998</v>
      </c>
      <c r="GZ7" s="803"/>
      <c r="HA7" s="804">
        <v>2.74</v>
      </c>
      <c r="HB7" s="802"/>
      <c r="HC7" s="799">
        <v>2.2799999999999998</v>
      </c>
      <c r="HD7" s="800"/>
      <c r="HE7" s="799">
        <v>2.54</v>
      </c>
      <c r="HF7" s="802"/>
      <c r="HG7" s="805">
        <v>2.2400000000000002</v>
      </c>
      <c r="HH7" s="803"/>
      <c r="HI7" s="799">
        <v>2.54</v>
      </c>
      <c r="HJ7" s="802"/>
      <c r="HK7" s="799">
        <v>2.2400000000000002</v>
      </c>
      <c r="HL7" s="803"/>
      <c r="HM7" s="799">
        <v>2.2400000000000002</v>
      </c>
      <c r="HN7" s="802"/>
      <c r="HO7" s="799">
        <v>2.11</v>
      </c>
      <c r="HP7" s="803"/>
      <c r="HQ7" s="799">
        <v>2.2400000000000002</v>
      </c>
      <c r="HR7" s="802"/>
      <c r="HS7" s="799">
        <v>2.11</v>
      </c>
      <c r="HT7" s="790"/>
      <c r="HU7" s="806">
        <v>2.2999999999999998</v>
      </c>
      <c r="HV7" s="798"/>
      <c r="HW7" s="806">
        <v>2.17</v>
      </c>
      <c r="HX7" s="807"/>
      <c r="HY7" s="806">
        <v>2.2999999999999998</v>
      </c>
      <c r="HZ7" s="798"/>
      <c r="IA7" s="806">
        <v>2.17</v>
      </c>
      <c r="IB7" s="807"/>
      <c r="IC7" s="808">
        <v>2.2799999999999998</v>
      </c>
      <c r="ID7" s="798"/>
      <c r="IE7" s="806">
        <v>2.31</v>
      </c>
      <c r="IF7" s="809"/>
      <c r="IG7" s="808">
        <v>2.27</v>
      </c>
      <c r="IH7" s="798"/>
      <c r="II7" s="806">
        <v>2.31</v>
      </c>
      <c r="IJ7" s="810"/>
      <c r="IK7" s="808">
        <v>2.27</v>
      </c>
      <c r="IL7" s="798"/>
      <c r="IM7" s="806">
        <v>2.31</v>
      </c>
      <c r="IN7" s="807"/>
      <c r="IO7" s="808">
        <f>IS7</f>
        <v>2.1098068375608405</v>
      </c>
      <c r="IP7" s="798"/>
      <c r="IQ7" s="806">
        <f>IU7</f>
        <v>2.64</v>
      </c>
      <c r="IR7" s="810"/>
      <c r="IS7" s="808">
        <v>2.1098068375608405</v>
      </c>
      <c r="IT7" s="798"/>
      <c r="IU7" s="806">
        <v>2.64</v>
      </c>
      <c r="IV7" s="807"/>
      <c r="IW7" s="808">
        <v>2.17</v>
      </c>
      <c r="IX7" s="798"/>
      <c r="IY7" s="806">
        <f>KB7</f>
        <v>2.577</v>
      </c>
      <c r="IZ7" s="810"/>
      <c r="JA7" s="808">
        <f>IW7</f>
        <v>2.17</v>
      </c>
      <c r="JB7" s="798"/>
      <c r="JC7" s="806">
        <f>IY7</f>
        <v>2.577</v>
      </c>
      <c r="JD7" s="810"/>
      <c r="JE7" s="808">
        <v>2.31</v>
      </c>
      <c r="JF7" s="798"/>
      <c r="JG7" s="806">
        <v>2.3199999999999998</v>
      </c>
      <c r="JH7" s="810"/>
      <c r="JI7" s="808">
        <v>2.3199999999999998</v>
      </c>
      <c r="JJ7" s="798"/>
      <c r="JK7" s="806">
        <v>2.2000000000000002</v>
      </c>
      <c r="JL7" s="810"/>
      <c r="JM7" s="810"/>
      <c r="JN7" s="808">
        <v>2.3199999999999998</v>
      </c>
      <c r="JO7" s="798"/>
      <c r="JP7" s="806">
        <v>2.2000000000000002</v>
      </c>
      <c r="JQ7" s="811"/>
      <c r="JR7" s="808">
        <v>2.64</v>
      </c>
      <c r="JS7" s="798"/>
      <c r="JT7" s="806">
        <v>1.97</v>
      </c>
      <c r="JU7" s="810"/>
      <c r="JV7" s="810"/>
      <c r="JW7" s="808">
        <v>2.64</v>
      </c>
      <c r="JX7" s="798"/>
      <c r="JY7" s="806">
        <v>1.97</v>
      </c>
      <c r="JZ7" s="810"/>
      <c r="KA7" s="810"/>
      <c r="KB7" s="808">
        <v>2.577</v>
      </c>
      <c r="KC7" s="798"/>
      <c r="KD7" s="806">
        <v>1.97</v>
      </c>
      <c r="KE7" s="810"/>
      <c r="KF7" s="810"/>
      <c r="KG7" s="808">
        <v>2.577</v>
      </c>
      <c r="KH7" s="798"/>
      <c r="KI7" s="806">
        <v>1.97</v>
      </c>
      <c r="KJ7" s="810"/>
      <c r="KK7" s="808">
        <v>2.5</v>
      </c>
      <c r="KL7" s="798"/>
      <c r="KM7" s="806">
        <v>1.91</v>
      </c>
      <c r="KN7" s="810"/>
      <c r="KO7" s="806">
        <v>2.2000000000000002</v>
      </c>
      <c r="KP7" s="812"/>
      <c r="KQ7" s="806">
        <v>1.8</v>
      </c>
      <c r="KR7" s="807"/>
      <c r="KS7" s="806">
        <v>2.2000000000000002</v>
      </c>
      <c r="KT7" s="807"/>
      <c r="KU7" s="806">
        <v>1.8</v>
      </c>
      <c r="KV7" s="807"/>
      <c r="KW7" s="806">
        <v>1.97</v>
      </c>
      <c r="KX7" s="798"/>
      <c r="KY7" s="806">
        <v>1.73</v>
      </c>
      <c r="KZ7" s="798"/>
      <c r="LA7" s="806">
        <v>1.97</v>
      </c>
      <c r="LB7" s="798"/>
      <c r="LC7" s="806">
        <v>1.73</v>
      </c>
      <c r="LD7" s="798"/>
      <c r="LE7" s="806">
        <v>1.9349940723994377</v>
      </c>
      <c r="LF7" s="798"/>
      <c r="LG7" s="806">
        <v>1.68</v>
      </c>
      <c r="LH7" s="798"/>
      <c r="LI7" s="806">
        <v>1.9349940723994377</v>
      </c>
      <c r="LJ7" s="798"/>
      <c r="LK7" s="806">
        <v>1.68</v>
      </c>
      <c r="LL7" s="798"/>
      <c r="LM7" s="806">
        <v>1.91</v>
      </c>
      <c r="LN7" s="798"/>
      <c r="LO7" s="806">
        <v>1.68</v>
      </c>
      <c r="LP7" s="798"/>
      <c r="LQ7" s="806">
        <v>1.85</v>
      </c>
      <c r="LR7" s="798"/>
      <c r="LS7" s="806">
        <v>1.43</v>
      </c>
      <c r="LT7" s="798"/>
      <c r="LU7" s="806">
        <v>1.85</v>
      </c>
      <c r="LV7" s="798"/>
      <c r="LW7" s="806">
        <v>1.43</v>
      </c>
      <c r="LX7" s="812"/>
      <c r="LY7" s="806">
        <v>1.7279887062185715</v>
      </c>
      <c r="LZ7" s="813"/>
      <c r="MA7" s="806">
        <v>1.1851646020713575</v>
      </c>
      <c r="MB7" s="813"/>
      <c r="MC7" s="806">
        <v>1.7279887062185715</v>
      </c>
      <c r="MD7" s="813"/>
      <c r="ME7" s="806">
        <v>1.1851646020713575</v>
      </c>
      <c r="MF7" s="813"/>
      <c r="MG7" s="806">
        <v>1.68</v>
      </c>
      <c r="MH7" s="813"/>
      <c r="MI7" s="806">
        <v>1.31</v>
      </c>
      <c r="MJ7" s="813"/>
      <c r="MK7" s="806">
        <v>1.68</v>
      </c>
      <c r="ML7" s="813"/>
      <c r="MM7" s="806">
        <v>1.31</v>
      </c>
      <c r="MN7" s="813"/>
      <c r="MO7" s="806">
        <v>1.68</v>
      </c>
      <c r="MP7" s="813"/>
      <c r="MQ7" s="806">
        <v>1.33</v>
      </c>
      <c r="MR7" s="813"/>
      <c r="MS7" s="813"/>
      <c r="MT7" s="813"/>
      <c r="MU7" s="813"/>
      <c r="MV7" s="813"/>
      <c r="MW7" s="813"/>
      <c r="MX7" s="813"/>
      <c r="MY7" s="813"/>
      <c r="MZ7" s="813"/>
      <c r="NA7" s="813"/>
      <c r="NB7" s="813"/>
      <c r="NC7" s="813"/>
      <c r="ND7" s="813"/>
      <c r="NE7" s="813"/>
      <c r="NF7" s="813"/>
      <c r="NG7" s="813"/>
      <c r="NH7" s="813"/>
      <c r="NI7" s="813"/>
      <c r="NJ7" s="813"/>
      <c r="NK7" s="813"/>
      <c r="NL7" s="813"/>
      <c r="NM7" s="813"/>
      <c r="NN7" s="813"/>
      <c r="NO7" s="813"/>
      <c r="NP7" s="813"/>
      <c r="NQ7" s="813"/>
      <c r="NR7" s="813"/>
      <c r="NS7" s="813"/>
      <c r="NT7" s="813"/>
      <c r="NU7" s="813"/>
      <c r="NV7" s="813"/>
      <c r="NW7" s="813"/>
      <c r="NX7" s="813"/>
      <c r="NY7" s="813"/>
      <c r="NZ7" s="813"/>
      <c r="OA7" s="813"/>
      <c r="OB7" s="813"/>
      <c r="OC7" s="813"/>
      <c r="OD7" s="813"/>
      <c r="OE7" s="813"/>
      <c r="OF7" s="813"/>
      <c r="OG7" s="813"/>
      <c r="OH7" s="813"/>
      <c r="OI7" s="813"/>
      <c r="OJ7" s="813"/>
      <c r="OK7" s="813"/>
      <c r="OL7" s="813"/>
      <c r="OM7" s="813"/>
      <c r="ON7" s="813"/>
      <c r="OO7" s="813"/>
      <c r="OP7" s="813"/>
      <c r="OQ7" s="813"/>
      <c r="OR7" s="813"/>
      <c r="OS7" s="813"/>
      <c r="OT7" s="813"/>
      <c r="OU7" s="813"/>
      <c r="OV7" s="813"/>
      <c r="OW7" s="813"/>
      <c r="OX7" s="813"/>
      <c r="OY7" s="813"/>
      <c r="OZ7" s="813"/>
      <c r="PA7" s="813"/>
      <c r="PB7" s="813"/>
      <c r="PC7" s="813"/>
      <c r="PD7" s="813"/>
      <c r="PE7" s="813"/>
      <c r="PF7" s="813"/>
      <c r="PG7" s="813"/>
      <c r="PH7" s="813"/>
      <c r="PI7" s="813"/>
      <c r="PJ7" s="813"/>
      <c r="PK7" s="813"/>
      <c r="PL7" s="813"/>
      <c r="PM7" s="813"/>
      <c r="PN7" s="813"/>
      <c r="PO7" s="813"/>
      <c r="PP7" s="813"/>
      <c r="PQ7" s="813"/>
    </row>
    <row r="8" spans="1:433">
      <c r="A8" s="7"/>
      <c r="B8" s="13"/>
      <c r="C8" s="13"/>
      <c r="D8" s="740"/>
      <c r="E8" s="735"/>
      <c r="F8" s="740"/>
      <c r="G8" s="13"/>
      <c r="H8" s="740"/>
      <c r="I8" s="13"/>
      <c r="J8" s="740"/>
      <c r="K8" s="13"/>
      <c r="L8" s="740"/>
      <c r="M8" s="738"/>
      <c r="N8" s="741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95"/>
      <c r="AB8" s="679"/>
      <c r="AC8" s="679"/>
      <c r="AD8" s="679"/>
      <c r="AE8" s="195"/>
      <c r="AF8" s="81"/>
      <c r="AG8" s="195"/>
      <c r="AH8" s="355"/>
      <c r="AI8" s="355"/>
      <c r="AJ8" s="81"/>
      <c r="AK8" s="195"/>
      <c r="AL8" s="355"/>
      <c r="AM8" s="355"/>
      <c r="AN8" s="81"/>
      <c r="AO8" s="195"/>
      <c r="AP8" s="355"/>
      <c r="AQ8" s="355"/>
      <c r="AR8" s="81"/>
      <c r="AS8" s="195"/>
      <c r="AT8" s="355"/>
      <c r="AU8" s="355"/>
      <c r="AV8" s="81"/>
      <c r="AW8" s="195"/>
      <c r="AX8" s="355"/>
      <c r="AY8" s="355"/>
      <c r="AZ8" s="81"/>
      <c r="BA8" s="195"/>
      <c r="BB8" s="355"/>
      <c r="BC8" s="355"/>
      <c r="BD8" s="81"/>
      <c r="BE8" s="195"/>
      <c r="BF8" s="81"/>
      <c r="BG8" s="355"/>
      <c r="BH8" s="81"/>
      <c r="BI8" s="195"/>
      <c r="BJ8" s="355"/>
      <c r="BK8" s="355"/>
      <c r="BL8" s="81"/>
      <c r="BM8" s="195"/>
      <c r="BN8" s="81"/>
      <c r="BO8" s="195"/>
      <c r="BP8" s="81"/>
      <c r="BQ8" s="195"/>
      <c r="BR8" s="355"/>
      <c r="BS8" s="195"/>
      <c r="BT8" s="81"/>
      <c r="BU8" s="195"/>
      <c r="BV8" s="355"/>
      <c r="BW8" s="355"/>
      <c r="BX8" s="81"/>
      <c r="BY8" s="195"/>
      <c r="BZ8" s="355"/>
      <c r="CA8" s="355"/>
      <c r="CB8" s="81"/>
      <c r="CC8" s="195"/>
      <c r="CD8" s="355"/>
      <c r="CE8" s="355"/>
      <c r="CF8" s="81"/>
      <c r="CG8" s="195"/>
      <c r="CH8" s="355"/>
      <c r="CI8" s="355"/>
      <c r="CJ8" s="81"/>
      <c r="CK8" s="195"/>
      <c r="CL8" s="355"/>
      <c r="CM8" s="355"/>
      <c r="CN8" s="81"/>
      <c r="CO8" s="195"/>
      <c r="CP8" s="355"/>
      <c r="CQ8" s="355"/>
      <c r="CR8" s="81"/>
      <c r="CS8" s="195"/>
      <c r="CT8" s="355"/>
      <c r="CU8" s="355"/>
      <c r="CV8" s="81"/>
      <c r="CW8" s="195"/>
      <c r="CX8" s="355"/>
      <c r="CY8" s="355"/>
      <c r="CZ8" s="81"/>
      <c r="DA8" s="195"/>
      <c r="DB8" s="355"/>
      <c r="DC8" s="355"/>
      <c r="DD8" s="81"/>
      <c r="DE8" s="195"/>
      <c r="DF8" s="355"/>
      <c r="DG8" s="355"/>
      <c r="DH8" s="81"/>
      <c r="DI8" s="195"/>
      <c r="DJ8" s="355"/>
      <c r="DK8" s="355"/>
      <c r="DL8" s="81"/>
      <c r="DM8" s="195"/>
      <c r="DN8" s="355"/>
      <c r="DO8" s="355"/>
      <c r="DP8" s="81"/>
      <c r="DQ8" s="195"/>
      <c r="DR8" s="355"/>
      <c r="DS8" s="355"/>
      <c r="DT8" s="81"/>
      <c r="DU8" s="195"/>
      <c r="DV8" s="355"/>
      <c r="DW8" s="355"/>
      <c r="DX8" s="81"/>
      <c r="DY8" s="195"/>
      <c r="DZ8" s="355"/>
      <c r="EA8" s="355"/>
      <c r="EB8" s="81"/>
      <c r="EC8" s="195"/>
      <c r="ED8" s="355"/>
      <c r="EE8" s="355"/>
      <c r="EF8" s="81"/>
      <c r="EG8" s="195"/>
      <c r="EH8" s="355"/>
      <c r="EI8" s="355"/>
      <c r="EJ8" s="81"/>
      <c r="EK8" s="195"/>
      <c r="EL8" s="355"/>
      <c r="EM8" s="355"/>
      <c r="EN8" s="81"/>
      <c r="EO8" s="195"/>
      <c r="EP8" s="355"/>
      <c r="EQ8" s="355"/>
      <c r="ER8" s="81"/>
      <c r="ES8" s="195"/>
      <c r="ET8" s="355"/>
      <c r="EU8" s="355"/>
      <c r="EV8" s="81"/>
      <c r="EW8" s="195"/>
      <c r="EX8" s="355"/>
      <c r="EY8" s="355"/>
      <c r="EZ8" s="81"/>
      <c r="FA8" s="195"/>
      <c r="FB8" s="355"/>
      <c r="FC8" s="355"/>
      <c r="FD8" s="81"/>
      <c r="FE8" s="195"/>
      <c r="FF8" s="355"/>
      <c r="FG8" s="13"/>
      <c r="FH8" s="81"/>
      <c r="FI8" s="195"/>
      <c r="FJ8" s="355"/>
      <c r="FK8" s="355"/>
      <c r="FL8" s="81"/>
      <c r="FM8" s="195"/>
      <c r="FN8" s="355"/>
      <c r="FO8" s="13"/>
      <c r="FP8" s="81"/>
      <c r="FQ8" s="195"/>
      <c r="FR8" s="355"/>
      <c r="FS8" s="355"/>
      <c r="FT8" s="81"/>
      <c r="FU8" s="195"/>
      <c r="FV8" s="355"/>
      <c r="FW8" s="355"/>
      <c r="FX8" s="81"/>
      <c r="FY8" s="195"/>
      <c r="FZ8" s="355"/>
      <c r="GA8" s="355"/>
      <c r="GB8" s="355"/>
      <c r="GC8" s="375"/>
      <c r="GD8" s="355"/>
      <c r="GE8" s="355"/>
      <c r="GF8" s="355"/>
      <c r="GG8" s="375"/>
      <c r="GH8" s="379"/>
      <c r="GI8" s="355"/>
      <c r="GJ8" s="355"/>
      <c r="GK8" s="375"/>
      <c r="GL8" s="355"/>
      <c r="GM8" s="355"/>
      <c r="GN8" s="355"/>
      <c r="GO8" s="375"/>
      <c r="GP8" s="355"/>
      <c r="GQ8" s="355"/>
      <c r="GR8" s="355"/>
      <c r="GS8" s="355"/>
      <c r="GT8" s="375"/>
      <c r="GU8" s="355"/>
      <c r="GV8" s="355"/>
      <c r="GW8" s="355"/>
      <c r="GX8" s="375"/>
      <c r="GY8" s="355"/>
      <c r="GZ8" s="355"/>
      <c r="HA8" s="355"/>
      <c r="HB8" s="375"/>
      <c r="HC8" s="355"/>
      <c r="HD8" s="355"/>
      <c r="HE8" s="355"/>
      <c r="HF8" s="375"/>
      <c r="HG8" s="355"/>
      <c r="HH8" s="355"/>
      <c r="HI8" s="355"/>
      <c r="HJ8" s="375"/>
      <c r="HK8" s="355"/>
      <c r="HL8" s="355"/>
      <c r="HM8" s="355"/>
      <c r="HN8" s="375"/>
      <c r="HO8" s="355"/>
      <c r="HP8" s="355"/>
      <c r="HQ8" s="355"/>
      <c r="HR8" s="375"/>
      <c r="HS8" s="355"/>
      <c r="HT8" s="13"/>
      <c r="HU8" s="188"/>
      <c r="HV8" s="195"/>
      <c r="HW8" s="188"/>
      <c r="HX8" s="188"/>
      <c r="HY8" s="188"/>
      <c r="HZ8" s="195"/>
      <c r="IA8" s="188"/>
      <c r="IB8" s="188"/>
      <c r="IC8" s="188"/>
      <c r="ID8" s="195"/>
      <c r="IE8" s="188"/>
      <c r="IF8" s="13"/>
      <c r="IG8" s="188"/>
      <c r="IH8" s="195"/>
      <c r="II8" s="188"/>
      <c r="IJ8" s="188"/>
      <c r="IK8" s="188"/>
      <c r="IL8" s="195"/>
      <c r="IM8" s="188"/>
      <c r="IN8" s="188"/>
      <c r="IO8" s="188"/>
      <c r="IP8" s="195"/>
      <c r="IQ8" s="188"/>
      <c r="IR8" s="188"/>
      <c r="IS8" s="188"/>
      <c r="IT8" s="195"/>
      <c r="IU8" s="188"/>
      <c r="IV8" s="188"/>
      <c r="IW8" s="188"/>
      <c r="IX8" s="195"/>
      <c r="IY8" s="188"/>
      <c r="IZ8" s="188"/>
      <c r="JA8" s="188"/>
      <c r="JB8" s="195"/>
      <c r="JC8" s="188"/>
      <c r="JD8" s="188"/>
      <c r="JE8" s="188"/>
      <c r="JF8" s="195"/>
      <c r="JG8" s="188"/>
      <c r="JH8" s="188"/>
      <c r="JI8" s="188"/>
      <c r="JJ8" s="195"/>
      <c r="JK8" s="188"/>
      <c r="JL8" s="188"/>
      <c r="JM8" s="188"/>
      <c r="JN8" s="188"/>
      <c r="JO8" s="195"/>
      <c r="JP8" s="188"/>
      <c r="JQ8" s="188"/>
      <c r="JR8" s="188"/>
      <c r="JS8" s="195"/>
      <c r="JT8" s="188"/>
      <c r="JU8" s="188"/>
      <c r="JV8" s="188"/>
      <c r="JW8" s="188"/>
      <c r="JX8" s="195"/>
      <c r="JY8" s="188"/>
      <c r="JZ8" s="188"/>
      <c r="KA8" s="188"/>
      <c r="KB8" s="188"/>
      <c r="KC8" s="195"/>
      <c r="KD8" s="188"/>
      <c r="KE8" s="188"/>
      <c r="KF8" s="188"/>
      <c r="KG8" s="188"/>
      <c r="KH8" s="195"/>
      <c r="KI8" s="188"/>
      <c r="KJ8" s="188"/>
      <c r="KK8" s="188"/>
      <c r="KL8" s="195"/>
      <c r="KM8" s="188"/>
      <c r="KN8" s="188"/>
      <c r="KO8" s="188"/>
      <c r="KP8" s="188"/>
      <c r="KQ8" s="188"/>
      <c r="KR8" s="188"/>
      <c r="KS8" s="188"/>
      <c r="KT8" s="188"/>
      <c r="KU8" s="188"/>
      <c r="KV8" s="188"/>
      <c r="KW8" s="188"/>
      <c r="KX8" s="195"/>
      <c r="KY8" s="188"/>
      <c r="KZ8" s="195"/>
      <c r="LA8" s="188"/>
      <c r="LB8" s="195"/>
      <c r="LC8" s="188"/>
      <c r="LD8" s="195"/>
      <c r="LE8" s="188"/>
      <c r="LF8" s="195"/>
      <c r="LG8" s="188"/>
      <c r="LH8" s="195"/>
      <c r="LI8" s="188"/>
      <c r="LJ8" s="195"/>
      <c r="LK8" s="188"/>
      <c r="LL8" s="195"/>
      <c r="LM8" s="188"/>
      <c r="LN8" s="195"/>
      <c r="LO8" s="188"/>
      <c r="LP8" s="195"/>
      <c r="LQ8" s="198"/>
      <c r="LR8" s="195"/>
      <c r="LS8" s="198"/>
      <c r="LT8" s="195"/>
      <c r="LU8" s="198"/>
      <c r="LV8" s="195"/>
      <c r="LW8" s="198"/>
      <c r="LX8" s="195"/>
      <c r="LY8" s="198"/>
      <c r="LZ8" s="156"/>
      <c r="MA8" s="198"/>
      <c r="MB8" s="156"/>
      <c r="MC8" s="198"/>
      <c r="MD8" s="156"/>
      <c r="ME8" s="198"/>
      <c r="MF8" s="156"/>
      <c r="MG8" s="198"/>
      <c r="MH8" s="156"/>
      <c r="MI8" s="198"/>
      <c r="MJ8" s="156"/>
      <c r="MK8" s="198"/>
      <c r="ML8" s="156"/>
      <c r="MM8" s="198"/>
      <c r="MN8" s="156"/>
      <c r="MO8" s="198"/>
      <c r="MP8" s="156"/>
      <c r="MQ8" s="198"/>
      <c r="MR8" s="156"/>
      <c r="MS8" s="156"/>
      <c r="MT8" s="156"/>
      <c r="MU8" s="156"/>
      <c r="MV8" s="156"/>
      <c r="MW8" s="156"/>
      <c r="MX8" s="156"/>
      <c r="MY8" s="156"/>
      <c r="MZ8" s="156"/>
      <c r="NA8" s="156"/>
      <c r="NB8" s="156"/>
      <c r="NC8" s="156"/>
      <c r="ND8" s="156"/>
      <c r="NE8" s="156"/>
      <c r="NF8" s="156"/>
      <c r="NG8" s="156"/>
      <c r="NH8" s="156"/>
      <c r="NI8" s="156"/>
      <c r="NJ8" s="156"/>
      <c r="NK8" s="156"/>
      <c r="NL8" s="156"/>
      <c r="NM8" s="156"/>
      <c r="NN8" s="156"/>
      <c r="NO8" s="156"/>
      <c r="NP8" s="156"/>
      <c r="NQ8" s="156"/>
      <c r="NR8" s="156"/>
      <c r="NS8" s="156"/>
      <c r="NT8" s="156"/>
      <c r="NU8" s="156"/>
      <c r="NV8" s="156"/>
      <c r="NW8" s="156"/>
      <c r="NX8" s="156"/>
      <c r="NY8" s="156"/>
      <c r="NZ8" s="156"/>
      <c r="OA8" s="156"/>
      <c r="OB8" s="156"/>
      <c r="OC8" s="156"/>
      <c r="OD8" s="156"/>
      <c r="OE8" s="156"/>
      <c r="OF8" s="156"/>
      <c r="OG8" s="156"/>
      <c r="OH8" s="156"/>
      <c r="OI8" s="156"/>
      <c r="OJ8" s="156"/>
      <c r="OK8" s="156"/>
      <c r="OL8" s="156"/>
      <c r="OM8" s="156"/>
      <c r="ON8" s="156"/>
      <c r="OO8" s="156"/>
      <c r="OP8" s="156"/>
      <c r="OQ8" s="156"/>
      <c r="OR8" s="156"/>
      <c r="OS8" s="156"/>
      <c r="OT8" s="156"/>
      <c r="OU8" s="156"/>
      <c r="OV8" s="156"/>
      <c r="OW8" s="156"/>
      <c r="OX8" s="156"/>
      <c r="OY8" s="156"/>
      <c r="OZ8" s="156"/>
      <c r="PA8" s="156"/>
      <c r="PB8" s="156"/>
      <c r="PC8" s="156"/>
      <c r="PD8" s="156"/>
      <c r="PE8" s="156"/>
      <c r="PF8" s="156"/>
      <c r="PG8" s="156"/>
      <c r="PH8" s="156"/>
      <c r="PI8" s="156"/>
      <c r="PJ8" s="156"/>
      <c r="PK8" s="156"/>
      <c r="PL8" s="156"/>
      <c r="PM8" s="156"/>
      <c r="PN8" s="156"/>
      <c r="PO8" s="156"/>
      <c r="PP8" s="156"/>
      <c r="PQ8" s="156"/>
    </row>
    <row r="9" spans="1:433">
      <c r="A9" s="7"/>
      <c r="B9" s="13"/>
      <c r="C9" s="13"/>
      <c r="D9" s="740"/>
      <c r="E9" s="735"/>
      <c r="F9" s="740"/>
      <c r="G9" s="13"/>
      <c r="H9" s="740"/>
      <c r="I9" s="13"/>
      <c r="J9" s="740"/>
      <c r="K9" s="13"/>
      <c r="L9" s="740"/>
      <c r="M9" s="742"/>
      <c r="N9" s="741"/>
      <c r="O9" s="13"/>
      <c r="P9" s="13"/>
      <c r="Q9" s="13"/>
      <c r="R9" s="695"/>
      <c r="S9" s="13"/>
      <c r="T9" s="13"/>
      <c r="U9" s="13"/>
      <c r="V9" s="695"/>
      <c r="W9" s="13"/>
      <c r="X9" s="13"/>
      <c r="Y9" s="13"/>
      <c r="Z9" s="673"/>
      <c r="AA9" s="184"/>
      <c r="AB9" s="13"/>
      <c r="AC9" s="13"/>
      <c r="AD9" s="13"/>
      <c r="AE9" s="184"/>
      <c r="AF9" s="81"/>
      <c r="AG9" s="184"/>
      <c r="AH9" s="355"/>
      <c r="AI9" s="355"/>
      <c r="AJ9" s="81"/>
      <c r="AK9" s="184"/>
      <c r="AL9" s="355"/>
      <c r="AM9" s="355"/>
      <c r="AN9" s="81"/>
      <c r="AO9" s="184"/>
      <c r="AP9" s="355"/>
      <c r="AQ9" s="355"/>
      <c r="AR9" s="81"/>
      <c r="AS9" s="184"/>
      <c r="AT9" s="355"/>
      <c r="AU9" s="355"/>
      <c r="AV9" s="81"/>
      <c r="AW9" s="184"/>
      <c r="AX9" s="355"/>
      <c r="AY9" s="355"/>
      <c r="AZ9" s="81"/>
      <c r="BA9" s="184"/>
      <c r="BB9" s="355"/>
      <c r="BC9" s="355"/>
      <c r="BD9" s="81"/>
      <c r="BE9" s="184"/>
      <c r="BF9" s="81"/>
      <c r="BG9" s="355"/>
      <c r="BH9" s="81"/>
      <c r="BI9" s="184"/>
      <c r="BJ9" s="355"/>
      <c r="BK9" s="355"/>
      <c r="BL9" s="81"/>
      <c r="BM9" s="184"/>
      <c r="BN9" s="81"/>
      <c r="BO9" s="184"/>
      <c r="BP9" s="81"/>
      <c r="BQ9" s="184"/>
      <c r="BR9" s="355"/>
      <c r="BS9" s="184"/>
      <c r="BT9" s="81"/>
      <c r="BU9" s="184"/>
      <c r="BV9" s="355"/>
      <c r="BW9" s="355"/>
      <c r="BX9" s="81"/>
      <c r="BY9" s="184"/>
      <c r="BZ9" s="355"/>
      <c r="CA9" s="355"/>
      <c r="CB9" s="81"/>
      <c r="CC9" s="184"/>
      <c r="CD9" s="355"/>
      <c r="CE9" s="355"/>
      <c r="CF9" s="81"/>
      <c r="CG9" s="184"/>
      <c r="CH9" s="355"/>
      <c r="CI9" s="355"/>
      <c r="CJ9" s="81"/>
      <c r="CK9" s="184"/>
      <c r="CL9" s="355"/>
      <c r="CM9" s="355"/>
      <c r="CN9" s="81"/>
      <c r="CO9" s="184"/>
      <c r="CP9" s="355"/>
      <c r="CQ9" s="355"/>
      <c r="CR9" s="81"/>
      <c r="CS9" s="184"/>
      <c r="CT9" s="355"/>
      <c r="CU9" s="355"/>
      <c r="CV9" s="81"/>
      <c r="CW9" s="184"/>
      <c r="CX9" s="355"/>
      <c r="CY9" s="355"/>
      <c r="CZ9" s="81"/>
      <c r="DA9" s="184"/>
      <c r="DB9" s="355"/>
      <c r="DC9" s="355"/>
      <c r="DD9" s="81"/>
      <c r="DE9" s="184"/>
      <c r="DF9" s="355"/>
      <c r="DG9" s="355"/>
      <c r="DH9" s="81"/>
      <c r="DI9" s="184"/>
      <c r="DJ9" s="355"/>
      <c r="DK9" s="355"/>
      <c r="DL9" s="81"/>
      <c r="DM9" s="184"/>
      <c r="DN9" s="355"/>
      <c r="DO9" s="355"/>
      <c r="DP9" s="81"/>
      <c r="DQ9" s="184"/>
      <c r="DR9" s="355"/>
      <c r="DS9" s="355"/>
      <c r="DT9" s="81"/>
      <c r="DU9" s="184"/>
      <c r="DV9" s="355"/>
      <c r="DW9" s="355"/>
      <c r="DX9" s="81"/>
      <c r="DY9" s="184"/>
      <c r="DZ9" s="355"/>
      <c r="EA9" s="355"/>
      <c r="EB9" s="81"/>
      <c r="EC9" s="184"/>
      <c r="ED9" s="355"/>
      <c r="EE9" s="355"/>
      <c r="EF9" s="81"/>
      <c r="EG9" s="184"/>
      <c r="EH9" s="355"/>
      <c r="EI9" s="355"/>
      <c r="EJ9" s="81"/>
      <c r="EK9" s="184"/>
      <c r="EL9" s="355"/>
      <c r="EM9" s="355"/>
      <c r="EN9" s="81"/>
      <c r="EO9" s="184"/>
      <c r="EP9" s="355"/>
      <c r="EQ9" s="355"/>
      <c r="ER9" s="81"/>
      <c r="ES9" s="184"/>
      <c r="ET9" s="355"/>
      <c r="EU9" s="355"/>
      <c r="EV9" s="81"/>
      <c r="EW9" s="184"/>
      <c r="EX9" s="355"/>
      <c r="EY9" s="355"/>
      <c r="EZ9" s="81"/>
      <c r="FA9" s="184"/>
      <c r="FB9" s="355"/>
      <c r="FC9" s="355"/>
      <c r="FD9" s="81"/>
      <c r="FE9" s="184"/>
      <c r="FF9" s="355"/>
      <c r="FG9" s="13"/>
      <c r="FH9" s="81"/>
      <c r="FI9" s="184"/>
      <c r="FJ9" s="355"/>
      <c r="FK9" s="355"/>
      <c r="FL9" s="81"/>
      <c r="FM9" s="184"/>
      <c r="FN9" s="355"/>
      <c r="FO9" s="13"/>
      <c r="FP9" s="81"/>
      <c r="FQ9" s="184"/>
      <c r="FR9" s="355"/>
      <c r="FS9" s="355"/>
      <c r="FT9" s="81"/>
      <c r="FU9" s="184"/>
      <c r="FV9" s="355"/>
      <c r="FW9" s="355"/>
      <c r="FX9" s="81"/>
      <c r="FY9" s="184"/>
      <c r="FZ9" s="355"/>
      <c r="GA9" s="355"/>
      <c r="GB9" s="355"/>
      <c r="GC9" s="373"/>
      <c r="GD9" s="355"/>
      <c r="GE9" s="355"/>
      <c r="GF9" s="355"/>
      <c r="GG9" s="373"/>
      <c r="GH9" s="379"/>
      <c r="GI9" s="355"/>
      <c r="GJ9" s="355"/>
      <c r="GK9" s="373"/>
      <c r="GL9" s="355"/>
      <c r="GM9" s="355"/>
      <c r="GN9" s="355"/>
      <c r="GO9" s="373"/>
      <c r="GP9" s="355"/>
      <c r="GQ9" s="355"/>
      <c r="GR9" s="355"/>
      <c r="GS9" s="355"/>
      <c r="GT9" s="373"/>
      <c r="GU9" s="355"/>
      <c r="GV9" s="355"/>
      <c r="GW9" s="355"/>
      <c r="GX9" s="373"/>
      <c r="GY9" s="355"/>
      <c r="GZ9" s="355"/>
      <c r="HA9" s="355"/>
      <c r="HB9" s="373"/>
      <c r="HC9" s="355"/>
      <c r="HD9" s="355"/>
      <c r="HE9" s="355"/>
      <c r="HF9" s="373"/>
      <c r="HG9" s="355"/>
      <c r="HH9" s="355"/>
      <c r="HI9" s="355"/>
      <c r="HJ9" s="373"/>
      <c r="HK9" s="355"/>
      <c r="HL9" s="355"/>
      <c r="HM9" s="355"/>
      <c r="HN9" s="373"/>
      <c r="HO9" s="355"/>
      <c r="HP9" s="355"/>
      <c r="HQ9" s="355"/>
      <c r="HR9" s="373"/>
      <c r="HS9" s="355"/>
      <c r="HT9" s="13"/>
      <c r="HU9" s="188"/>
      <c r="HV9" s="184"/>
      <c r="HW9" s="188"/>
      <c r="HX9" s="188"/>
      <c r="HY9" s="188"/>
      <c r="HZ9" s="184"/>
      <c r="IA9" s="188"/>
      <c r="IB9" s="188"/>
      <c r="IC9" s="188"/>
      <c r="ID9" s="184"/>
      <c r="IE9" s="188"/>
      <c r="IF9" s="13"/>
      <c r="IG9" s="188"/>
      <c r="IH9" s="184"/>
      <c r="II9" s="188"/>
      <c r="IJ9" s="188"/>
      <c r="IK9" s="188"/>
      <c r="IL9" s="184"/>
      <c r="IM9" s="188"/>
      <c r="IN9" s="188"/>
      <c r="IO9" s="188"/>
      <c r="IP9" s="184"/>
      <c r="IQ9" s="188"/>
      <c r="IR9" s="188"/>
      <c r="IS9" s="188"/>
      <c r="IT9" s="184"/>
      <c r="IU9" s="188"/>
      <c r="IV9" s="188"/>
      <c r="IW9" s="188"/>
      <c r="IX9" s="184"/>
      <c r="IY9" s="188"/>
      <c r="IZ9" s="188"/>
      <c r="JA9" s="188"/>
      <c r="JB9" s="184"/>
      <c r="JC9" s="188"/>
      <c r="JD9" s="188"/>
      <c r="JE9" s="188"/>
      <c r="JF9" s="184"/>
      <c r="JG9" s="188"/>
      <c r="JH9" s="188"/>
      <c r="JI9" s="188"/>
      <c r="JJ9" s="184"/>
      <c r="JK9" s="188"/>
      <c r="JL9" s="188"/>
      <c r="JM9" s="188"/>
      <c r="JN9" s="188"/>
      <c r="JO9" s="184"/>
      <c r="JP9" s="188"/>
      <c r="JQ9" s="188"/>
      <c r="JR9" s="188"/>
      <c r="JS9" s="184"/>
      <c r="JT9" s="188"/>
      <c r="JU9" s="188"/>
      <c r="JV9" s="188"/>
      <c r="JW9" s="188"/>
      <c r="JX9" s="184"/>
      <c r="JY9" s="188"/>
      <c r="JZ9" s="188"/>
      <c r="KA9" s="188"/>
      <c r="KB9" s="188"/>
      <c r="KC9" s="184"/>
      <c r="KD9" s="188"/>
      <c r="KE9" s="188"/>
      <c r="KF9" s="188"/>
      <c r="KG9" s="188"/>
      <c r="KH9" s="184"/>
      <c r="KI9" s="188"/>
      <c r="KJ9" s="188"/>
      <c r="KK9" s="188"/>
      <c r="KL9" s="184"/>
      <c r="KM9" s="188"/>
      <c r="KN9" s="188"/>
      <c r="KO9" s="188"/>
      <c r="KP9" s="188"/>
      <c r="KQ9" s="188"/>
      <c r="KR9" s="188"/>
      <c r="KS9" s="188"/>
      <c r="KT9" s="188"/>
      <c r="KU9" s="188"/>
      <c r="KV9" s="188"/>
      <c r="KW9" s="188"/>
      <c r="KX9" s="184"/>
      <c r="KY9" s="188"/>
      <c r="KZ9" s="184"/>
      <c r="LA9" s="188"/>
      <c r="LB9" s="184"/>
      <c r="LC9" s="188"/>
      <c r="LD9" s="184"/>
      <c r="LE9" s="188"/>
      <c r="LF9" s="184"/>
      <c r="LG9" s="188"/>
      <c r="LH9" s="184"/>
      <c r="LI9" s="188"/>
      <c r="LJ9" s="184"/>
      <c r="LK9" s="188"/>
      <c r="LL9" s="184"/>
      <c r="LM9" s="188"/>
      <c r="LN9" s="184"/>
      <c r="LO9" s="188"/>
      <c r="LP9" s="184"/>
      <c r="LQ9" s="198"/>
      <c r="LR9" s="184"/>
      <c r="LS9" s="198"/>
      <c r="LT9" s="184"/>
      <c r="LU9" s="198"/>
      <c r="LV9" s="184"/>
      <c r="LW9" s="198"/>
      <c r="LX9" s="195"/>
      <c r="LY9" s="198"/>
      <c r="LZ9" s="156"/>
      <c r="MA9" s="198"/>
      <c r="MB9" s="156"/>
      <c r="MC9" s="198"/>
      <c r="MD9" s="156"/>
      <c r="ME9" s="198"/>
      <c r="MF9" s="156"/>
      <c r="MG9" s="198"/>
      <c r="MH9" s="156"/>
      <c r="MI9" s="198"/>
      <c r="MJ9" s="156"/>
      <c r="MK9" s="198"/>
      <c r="ML9" s="156"/>
      <c r="MM9" s="198"/>
      <c r="MN9" s="156"/>
      <c r="MO9" s="198"/>
      <c r="MP9" s="156"/>
      <c r="MQ9" s="198"/>
      <c r="MR9" s="156"/>
      <c r="MS9" s="156"/>
      <c r="MT9" s="156"/>
      <c r="MU9" s="156"/>
      <c r="MV9" s="156"/>
      <c r="MW9" s="156"/>
      <c r="MX9" s="156"/>
      <c r="MY9" s="156"/>
      <c r="MZ9" s="156"/>
      <c r="NA9" s="156"/>
      <c r="NB9" s="156"/>
      <c r="NC9" s="156"/>
      <c r="ND9" s="156"/>
      <c r="NE9" s="156"/>
      <c r="NF9" s="156"/>
      <c r="NG9" s="156"/>
      <c r="NH9" s="156"/>
      <c r="NI9" s="156"/>
      <c r="NJ9" s="156"/>
      <c r="NK9" s="156"/>
      <c r="NL9" s="156"/>
      <c r="NM9" s="156"/>
      <c r="NN9" s="156"/>
      <c r="NO9" s="156"/>
      <c r="NP9" s="156"/>
      <c r="NQ9" s="156"/>
      <c r="NR9" s="156"/>
      <c r="NS9" s="156"/>
      <c r="NT9" s="156"/>
      <c r="NU9" s="156"/>
      <c r="NV9" s="156"/>
      <c r="NW9" s="156"/>
      <c r="NX9" s="156"/>
      <c r="NY9" s="156"/>
      <c r="NZ9" s="156"/>
      <c r="OA9" s="156"/>
      <c r="OB9" s="156"/>
      <c r="OC9" s="156"/>
      <c r="OD9" s="156"/>
      <c r="OE9" s="156"/>
      <c r="OF9" s="156"/>
      <c r="OG9" s="156"/>
      <c r="OH9" s="156"/>
      <c r="OI9" s="156"/>
      <c r="OJ9" s="156"/>
      <c r="OK9" s="156"/>
      <c r="OL9" s="156"/>
      <c r="OM9" s="156"/>
      <c r="ON9" s="156"/>
      <c r="OO9" s="156"/>
      <c r="OP9" s="156"/>
      <c r="OQ9" s="156"/>
      <c r="OR9" s="156"/>
      <c r="OS9" s="156"/>
      <c r="OT9" s="156"/>
      <c r="OU9" s="156"/>
      <c r="OV9" s="156"/>
      <c r="OW9" s="156"/>
      <c r="OX9" s="156"/>
      <c r="OY9" s="156"/>
      <c r="OZ9" s="156"/>
      <c r="PA9" s="156"/>
      <c r="PB9" s="156"/>
      <c r="PC9" s="156"/>
      <c r="PD9" s="156"/>
      <c r="PE9" s="156"/>
      <c r="PF9" s="156"/>
      <c r="PG9" s="156"/>
      <c r="PH9" s="156"/>
      <c r="PI9" s="156"/>
      <c r="PJ9" s="156"/>
      <c r="PK9" s="156"/>
      <c r="PL9" s="156"/>
      <c r="PM9" s="156"/>
      <c r="PN9" s="156"/>
      <c r="PO9" s="156"/>
      <c r="PP9" s="156"/>
      <c r="PQ9" s="156"/>
    </row>
    <row r="10" spans="1:433">
      <c r="A10" s="7"/>
      <c r="B10" s="13"/>
      <c r="C10" s="13"/>
      <c r="D10" s="740"/>
      <c r="E10" s="735"/>
      <c r="F10" s="740"/>
      <c r="G10" s="13"/>
      <c r="H10" s="740"/>
      <c r="I10" s="13"/>
      <c r="J10" s="740"/>
      <c r="K10" s="13"/>
      <c r="L10" s="740"/>
      <c r="M10" s="743"/>
      <c r="N10" s="741"/>
      <c r="O10" s="13"/>
      <c r="P10" s="13"/>
      <c r="Q10" s="13"/>
      <c r="R10" s="695"/>
      <c r="S10" s="13"/>
      <c r="T10" s="13"/>
      <c r="U10" s="13"/>
      <c r="V10" s="695"/>
      <c r="W10" s="13"/>
      <c r="X10" s="13"/>
      <c r="Y10" s="13"/>
      <c r="Z10" s="673"/>
      <c r="AA10" s="199"/>
      <c r="AB10" s="675"/>
      <c r="AC10" s="13"/>
      <c r="AD10" s="13"/>
      <c r="AE10" s="199"/>
      <c r="AF10" s="81"/>
      <c r="AG10" s="199"/>
      <c r="AH10" s="355"/>
      <c r="AI10" s="355"/>
      <c r="AJ10" s="81"/>
      <c r="AK10" s="199"/>
      <c r="AL10" s="355"/>
      <c r="AM10" s="355"/>
      <c r="AN10" s="81"/>
      <c r="AO10" s="199"/>
      <c r="AP10" s="355"/>
      <c r="AQ10" s="355"/>
      <c r="AR10" s="81"/>
      <c r="AS10" s="199"/>
      <c r="AT10" s="355"/>
      <c r="AU10" s="355"/>
      <c r="AV10" s="81"/>
      <c r="AW10" s="199"/>
      <c r="AX10" s="355"/>
      <c r="AY10" s="355"/>
      <c r="AZ10" s="81"/>
      <c r="BA10" s="199"/>
      <c r="BB10" s="355"/>
      <c r="BC10" s="355"/>
      <c r="BD10" s="81"/>
      <c r="BE10" s="199"/>
      <c r="BF10" s="81"/>
      <c r="BG10" s="355"/>
      <c r="BH10" s="81"/>
      <c r="BI10" s="199"/>
      <c r="BJ10" s="355"/>
      <c r="BK10" s="355"/>
      <c r="BL10" s="81"/>
      <c r="BM10" s="199"/>
      <c r="BN10" s="81"/>
      <c r="BO10" s="199"/>
      <c r="BP10" s="81"/>
      <c r="BQ10" s="199"/>
      <c r="BR10" s="355"/>
      <c r="BS10" s="199"/>
      <c r="BT10" s="81"/>
      <c r="BU10" s="199"/>
      <c r="BV10" s="355"/>
      <c r="BW10" s="355"/>
      <c r="BX10" s="81"/>
      <c r="BY10" s="199"/>
      <c r="BZ10" s="355"/>
      <c r="CA10" s="355"/>
      <c r="CB10" s="81"/>
      <c r="CC10" s="199"/>
      <c r="CD10" s="355"/>
      <c r="CE10" s="355"/>
      <c r="CF10" s="81"/>
      <c r="CG10" s="199"/>
      <c r="CH10" s="355"/>
      <c r="CI10" s="355"/>
      <c r="CJ10" s="81"/>
      <c r="CK10" s="199"/>
      <c r="CL10" s="355"/>
      <c r="CM10" s="355"/>
      <c r="CN10" s="81"/>
      <c r="CO10" s="199"/>
      <c r="CP10" s="355"/>
      <c r="CQ10" s="355"/>
      <c r="CR10" s="81"/>
      <c r="CS10" s="199"/>
      <c r="CT10" s="355"/>
      <c r="CU10" s="355"/>
      <c r="CV10" s="81"/>
      <c r="CW10" s="199"/>
      <c r="CX10" s="355"/>
      <c r="CY10" s="355"/>
      <c r="CZ10" s="81"/>
      <c r="DA10" s="199"/>
      <c r="DB10" s="355"/>
      <c r="DC10" s="355"/>
      <c r="DD10" s="81"/>
      <c r="DE10" s="199"/>
      <c r="DF10" s="355"/>
      <c r="DG10" s="355"/>
      <c r="DH10" s="81"/>
      <c r="DI10" s="199"/>
      <c r="DJ10" s="355"/>
      <c r="DK10" s="355"/>
      <c r="DL10" s="81"/>
      <c r="DM10" s="199"/>
      <c r="DN10" s="355"/>
      <c r="DO10" s="355"/>
      <c r="DP10" s="81"/>
      <c r="DQ10" s="199"/>
      <c r="DR10" s="355"/>
      <c r="DS10" s="355"/>
      <c r="DT10" s="81"/>
      <c r="DU10" s="199"/>
      <c r="DV10" s="355"/>
      <c r="DW10" s="355"/>
      <c r="DX10" s="81"/>
      <c r="DY10" s="199"/>
      <c r="DZ10" s="355"/>
      <c r="EA10" s="355"/>
      <c r="EB10" s="81"/>
      <c r="EC10" s="199"/>
      <c r="ED10" s="355"/>
      <c r="EE10" s="355"/>
      <c r="EF10" s="81"/>
      <c r="EG10" s="199"/>
      <c r="EH10" s="355"/>
      <c r="EI10" s="355"/>
      <c r="EJ10" s="81"/>
      <c r="EK10" s="199"/>
      <c r="EL10" s="355"/>
      <c r="EM10" s="355"/>
      <c r="EN10" s="81"/>
      <c r="EO10" s="199"/>
      <c r="EP10" s="355"/>
      <c r="EQ10" s="355"/>
      <c r="ER10" s="81"/>
      <c r="ES10" s="199"/>
      <c r="ET10" s="355"/>
      <c r="EU10" s="355"/>
      <c r="EV10" s="81"/>
      <c r="EW10" s="199"/>
      <c r="EX10" s="355"/>
      <c r="EY10" s="355"/>
      <c r="EZ10" s="81"/>
      <c r="FA10" s="199"/>
      <c r="FB10" s="355"/>
      <c r="FC10" s="355"/>
      <c r="FD10" s="81"/>
      <c r="FE10" s="199"/>
      <c r="FF10" s="355"/>
      <c r="FG10" s="13"/>
      <c r="FH10" s="81"/>
      <c r="FI10" s="199"/>
      <c r="FJ10" s="355"/>
      <c r="FK10" s="355"/>
      <c r="FL10" s="81"/>
      <c r="FM10" s="199"/>
      <c r="FN10" s="355"/>
      <c r="FO10" s="13"/>
      <c r="FP10" s="81"/>
      <c r="FQ10" s="199"/>
      <c r="FR10" s="355"/>
      <c r="FS10" s="355"/>
      <c r="FT10" s="81"/>
      <c r="FU10" s="199"/>
      <c r="FV10" s="355"/>
      <c r="FW10" s="355"/>
      <c r="FX10" s="81"/>
      <c r="FY10" s="199"/>
      <c r="FZ10" s="355"/>
      <c r="GA10" s="355"/>
      <c r="GB10" s="355"/>
      <c r="GC10" s="376"/>
      <c r="GD10" s="355"/>
      <c r="GE10" s="355"/>
      <c r="GF10" s="355"/>
      <c r="GG10" s="376"/>
      <c r="GH10" s="379"/>
      <c r="GI10" s="355"/>
      <c r="GJ10" s="355"/>
      <c r="GK10" s="376"/>
      <c r="GL10" s="355"/>
      <c r="GM10" s="355"/>
      <c r="GN10" s="355"/>
      <c r="GO10" s="376"/>
      <c r="GP10" s="355"/>
      <c r="GQ10" s="355"/>
      <c r="GR10" s="355"/>
      <c r="GS10" s="355"/>
      <c r="GT10" s="376"/>
      <c r="GU10" s="355"/>
      <c r="GV10" s="355"/>
      <c r="GW10" s="355"/>
      <c r="GX10" s="376"/>
      <c r="GY10" s="355"/>
      <c r="GZ10" s="355"/>
      <c r="HA10" s="355"/>
      <c r="HB10" s="376"/>
      <c r="HC10" s="355"/>
      <c r="HD10" s="355"/>
      <c r="HE10" s="355"/>
      <c r="HF10" s="376"/>
      <c r="HG10" s="355"/>
      <c r="HH10" s="355"/>
      <c r="HI10" s="355"/>
      <c r="HJ10" s="376"/>
      <c r="HK10" s="355"/>
      <c r="HL10" s="355"/>
      <c r="HM10" s="355"/>
      <c r="HN10" s="376"/>
      <c r="HO10" s="355"/>
      <c r="HP10" s="355"/>
      <c r="HQ10" s="355"/>
      <c r="HR10" s="376"/>
      <c r="HS10" s="355"/>
      <c r="HT10" s="13"/>
      <c r="HU10" s="188"/>
      <c r="HV10" s="199"/>
      <c r="HW10" s="188"/>
      <c r="HX10" s="188"/>
      <c r="HY10" s="188"/>
      <c r="HZ10" s="199"/>
      <c r="IA10" s="188"/>
      <c r="IB10" s="188"/>
      <c r="IC10" s="188"/>
      <c r="ID10" s="199"/>
      <c r="IE10" s="188"/>
      <c r="IF10" s="13"/>
      <c r="IG10" s="188"/>
      <c r="IH10" s="199"/>
      <c r="II10" s="188"/>
      <c r="IJ10" s="188"/>
      <c r="IK10" s="188"/>
      <c r="IL10" s="199"/>
      <c r="IM10" s="188"/>
      <c r="IN10" s="188"/>
      <c r="IO10" s="188"/>
      <c r="IP10" s="199"/>
      <c r="IQ10" s="188"/>
      <c r="IR10" s="188"/>
      <c r="IS10" s="188"/>
      <c r="IT10" s="199"/>
      <c r="IU10" s="188"/>
      <c r="IV10" s="188"/>
      <c r="IW10" s="188"/>
      <c r="IX10" s="199"/>
      <c r="IY10" s="188"/>
      <c r="IZ10" s="188"/>
      <c r="JA10" s="188"/>
      <c r="JB10" s="199"/>
      <c r="JC10" s="188"/>
      <c r="JD10" s="188"/>
      <c r="JE10" s="188"/>
      <c r="JF10" s="199"/>
      <c r="JG10" s="188"/>
      <c r="JH10" s="188"/>
      <c r="JI10" s="188"/>
      <c r="JJ10" s="199"/>
      <c r="JK10" s="188"/>
      <c r="JL10" s="188"/>
      <c r="JM10" s="188"/>
      <c r="JN10" s="188"/>
      <c r="JO10" s="199"/>
      <c r="JP10" s="188"/>
      <c r="JQ10" s="188"/>
      <c r="JR10" s="188"/>
      <c r="JS10" s="199"/>
      <c r="JT10" s="188"/>
      <c r="JU10" s="188"/>
      <c r="JV10" s="188"/>
      <c r="JW10" s="188"/>
      <c r="JX10" s="199"/>
      <c r="JY10" s="188"/>
      <c r="JZ10" s="188"/>
      <c r="KA10" s="188"/>
      <c r="KB10" s="188"/>
      <c r="KC10" s="199"/>
      <c r="KD10" s="188"/>
      <c r="KE10" s="188"/>
      <c r="KF10" s="188"/>
      <c r="KG10" s="188"/>
      <c r="KH10" s="199"/>
      <c r="KI10" s="188"/>
      <c r="KJ10" s="188"/>
      <c r="KK10" s="188"/>
      <c r="KL10" s="199"/>
      <c r="KM10" s="188"/>
      <c r="KN10" s="188"/>
      <c r="KO10" s="188"/>
      <c r="KP10" s="188"/>
      <c r="KQ10" s="188"/>
      <c r="KR10" s="188"/>
      <c r="KS10" s="188"/>
      <c r="KT10" s="188"/>
      <c r="KU10" s="188"/>
      <c r="KV10" s="188"/>
      <c r="KW10" s="188"/>
      <c r="KX10" s="199"/>
      <c r="KY10" s="188"/>
      <c r="KZ10" s="199"/>
      <c r="LA10" s="188"/>
      <c r="LB10" s="199"/>
      <c r="LC10" s="188"/>
      <c r="LD10" s="199"/>
      <c r="LE10" s="188"/>
      <c r="LF10" s="199"/>
      <c r="LG10" s="188"/>
      <c r="LH10" s="199"/>
      <c r="LI10" s="188"/>
      <c r="LJ10" s="199"/>
      <c r="LK10" s="188"/>
      <c r="LL10" s="199"/>
      <c r="LM10" s="188"/>
      <c r="LN10" s="199"/>
      <c r="LO10" s="188"/>
      <c r="LP10" s="199"/>
      <c r="LQ10" s="184"/>
      <c r="LR10" s="199"/>
      <c r="LS10" s="184"/>
      <c r="LT10" s="199"/>
      <c r="LU10" s="184"/>
      <c r="LV10" s="199"/>
      <c r="LW10" s="184"/>
      <c r="LX10" s="184"/>
      <c r="LY10" s="184"/>
      <c r="LZ10" s="156"/>
      <c r="MA10" s="184"/>
      <c r="MB10" s="156"/>
      <c r="MC10" s="184"/>
      <c r="MD10" s="156"/>
      <c r="ME10" s="184"/>
      <c r="MF10" s="156"/>
      <c r="MG10" s="184"/>
      <c r="MH10" s="156"/>
      <c r="MI10" s="184"/>
      <c r="MJ10" s="156"/>
      <c r="MK10" s="184"/>
      <c r="ML10" s="156"/>
      <c r="MM10" s="184"/>
      <c r="MN10" s="156"/>
      <c r="MO10" s="184"/>
      <c r="MP10" s="156"/>
      <c r="MQ10" s="184"/>
      <c r="MR10" s="156"/>
      <c r="MS10" s="156"/>
      <c r="MT10" s="156"/>
      <c r="MU10" s="156"/>
      <c r="MV10" s="156"/>
      <c r="MW10" s="156"/>
      <c r="MX10" s="156"/>
      <c r="MY10" s="156"/>
      <c r="MZ10" s="156"/>
      <c r="NA10" s="156"/>
      <c r="NB10" s="156"/>
      <c r="NC10" s="156"/>
      <c r="ND10" s="156"/>
      <c r="NE10" s="156"/>
      <c r="NF10" s="156"/>
      <c r="NG10" s="156"/>
      <c r="NH10" s="156"/>
      <c r="NI10" s="156"/>
      <c r="NJ10" s="156"/>
      <c r="NK10" s="156"/>
      <c r="NL10" s="156"/>
      <c r="NM10" s="156"/>
      <c r="NN10" s="156"/>
      <c r="NO10" s="156"/>
      <c r="NP10" s="156"/>
      <c r="NQ10" s="156"/>
      <c r="NR10" s="156"/>
      <c r="NS10" s="156"/>
      <c r="NT10" s="156"/>
      <c r="NU10" s="156"/>
      <c r="NV10" s="156"/>
      <c r="NW10" s="156"/>
      <c r="NX10" s="156"/>
      <c r="NY10" s="156"/>
      <c r="NZ10" s="156"/>
      <c r="OA10" s="156"/>
      <c r="OB10" s="156"/>
      <c r="OC10" s="156"/>
      <c r="OD10" s="156"/>
      <c r="OE10" s="156"/>
      <c r="OF10" s="156"/>
      <c r="OG10" s="156"/>
      <c r="OH10" s="156"/>
      <c r="OI10" s="156"/>
      <c r="OJ10" s="156"/>
      <c r="OK10" s="156"/>
      <c r="OL10" s="156"/>
      <c r="OM10" s="156"/>
      <c r="ON10" s="156"/>
      <c r="OO10" s="156"/>
      <c r="OP10" s="156"/>
      <c r="OQ10" s="156"/>
      <c r="OR10" s="156"/>
      <c r="OS10" s="156"/>
      <c r="OT10" s="156"/>
      <c r="OU10" s="156"/>
      <c r="OV10" s="156"/>
      <c r="OW10" s="156"/>
      <c r="OX10" s="156"/>
      <c r="OY10" s="156"/>
      <c r="OZ10" s="156"/>
      <c r="PA10" s="156"/>
      <c r="PB10" s="156"/>
      <c r="PC10" s="156"/>
      <c r="PD10" s="156"/>
      <c r="PE10" s="156"/>
      <c r="PF10" s="156"/>
      <c r="PG10" s="156"/>
      <c r="PH10" s="156"/>
      <c r="PI10" s="156"/>
      <c r="PJ10" s="156"/>
      <c r="PK10" s="156"/>
      <c r="PL10" s="156"/>
      <c r="PM10" s="156"/>
      <c r="PN10" s="156"/>
      <c r="PO10" s="156"/>
      <c r="PP10" s="156"/>
      <c r="PQ10" s="156"/>
    </row>
    <row r="11" spans="1:433">
      <c r="A11" s="7"/>
      <c r="B11" s="13"/>
      <c r="C11" s="13"/>
      <c r="D11" s="740"/>
      <c r="E11" s="735"/>
      <c r="F11" s="740"/>
      <c r="G11" s="13"/>
      <c r="H11" s="740"/>
      <c r="I11" s="13"/>
      <c r="J11" s="740"/>
      <c r="K11" s="13"/>
      <c r="L11" s="740"/>
      <c r="M11" s="733"/>
      <c r="N11" s="741"/>
      <c r="O11" s="13"/>
      <c r="P11" s="13"/>
      <c r="Q11" s="13"/>
      <c r="R11" s="695"/>
      <c r="S11" s="13"/>
      <c r="T11" s="13"/>
      <c r="U11" s="13"/>
      <c r="V11" s="695"/>
      <c r="W11" s="13"/>
      <c r="X11" s="13"/>
      <c r="Y11" s="13"/>
      <c r="Z11" s="673"/>
      <c r="AA11" s="166"/>
      <c r="AB11" s="676"/>
      <c r="AC11" s="13"/>
      <c r="AD11" s="13"/>
      <c r="AE11" s="166"/>
      <c r="AF11" s="81"/>
      <c r="AG11" s="166"/>
      <c r="AH11" s="355"/>
      <c r="AI11" s="355"/>
      <c r="AJ11" s="81"/>
      <c r="AK11" s="166"/>
      <c r="AL11" s="355"/>
      <c r="AM11" s="355"/>
      <c r="AN11" s="81"/>
      <c r="AO11" s="166"/>
      <c r="AP11" s="355"/>
      <c r="AQ11" s="355"/>
      <c r="AR11" s="81"/>
      <c r="AS11" s="166"/>
      <c r="AT11" s="355"/>
      <c r="AU11" s="355"/>
      <c r="AV11" s="81"/>
      <c r="AW11" s="166"/>
      <c r="AX11" s="355"/>
      <c r="AY11" s="355"/>
      <c r="AZ11" s="81"/>
      <c r="BA11" s="166"/>
      <c r="BB11" s="355"/>
      <c r="BC11" s="355"/>
      <c r="BD11" s="81">
        <v>1000</v>
      </c>
      <c r="BE11" s="166"/>
      <c r="BF11" s="81"/>
      <c r="BG11" s="355"/>
      <c r="BH11" s="81"/>
      <c r="BI11" s="166"/>
      <c r="BJ11" s="355"/>
      <c r="BK11" s="355"/>
      <c r="BL11" s="81"/>
      <c r="BM11" s="166"/>
      <c r="BN11" s="81"/>
      <c r="BO11" s="166"/>
      <c r="BP11" s="81"/>
      <c r="BQ11" s="166"/>
      <c r="BR11" s="355"/>
      <c r="BS11" s="166"/>
      <c r="BT11" s="81"/>
      <c r="BU11" s="166"/>
      <c r="BV11" s="355"/>
      <c r="BW11" s="355"/>
      <c r="BX11" s="81"/>
      <c r="BY11" s="166"/>
      <c r="BZ11" s="355"/>
      <c r="CA11" s="355"/>
      <c r="CB11" s="81"/>
      <c r="CC11" s="166"/>
      <c r="CD11" s="355"/>
      <c r="CE11" s="355"/>
      <c r="CF11" s="81"/>
      <c r="CG11" s="166"/>
      <c r="CH11" s="355"/>
      <c r="CI11" s="355"/>
      <c r="CJ11" s="81"/>
      <c r="CK11" s="166"/>
      <c r="CL11" s="355"/>
      <c r="CM11" s="355"/>
      <c r="CN11" s="81"/>
      <c r="CO11" s="166"/>
      <c r="CP11" s="355"/>
      <c r="CQ11" s="355"/>
      <c r="CR11" s="81"/>
      <c r="CS11" s="166"/>
      <c r="CT11" s="355"/>
      <c r="CU11" s="355"/>
      <c r="CV11" s="81"/>
      <c r="CW11" s="166"/>
      <c r="CX11" s="355"/>
      <c r="CY11" s="355"/>
      <c r="CZ11" s="81"/>
      <c r="DA11" s="166"/>
      <c r="DB11" s="355"/>
      <c r="DC11" s="355"/>
      <c r="DD11" s="81"/>
      <c r="DE11" s="166"/>
      <c r="DF11" s="355"/>
      <c r="DG11" s="355"/>
      <c r="DH11" s="81"/>
      <c r="DI11" s="166"/>
      <c r="DJ11" s="355"/>
      <c r="DK11" s="355"/>
      <c r="DL11" s="81"/>
      <c r="DM11" s="166"/>
      <c r="DN11" s="355"/>
      <c r="DO11" s="355"/>
      <c r="DP11" s="81"/>
      <c r="DQ11" s="166"/>
      <c r="DR11" s="355"/>
      <c r="DS11" s="355"/>
      <c r="DT11" s="81"/>
      <c r="DU11" s="166"/>
      <c r="DV11" s="355"/>
      <c r="DW11" s="355"/>
      <c r="DX11" s="81"/>
      <c r="DY11" s="166"/>
      <c r="DZ11" s="355"/>
      <c r="EA11" s="355"/>
      <c r="EB11" s="81"/>
      <c r="EC11" s="166"/>
      <c r="ED11" s="355"/>
      <c r="EE11" s="355"/>
      <c r="EF11" s="81"/>
      <c r="EG11" s="166"/>
      <c r="EH11" s="355"/>
      <c r="EI11" s="355"/>
      <c r="EJ11" s="81"/>
      <c r="EK11" s="166"/>
      <c r="EL11" s="355"/>
      <c r="EM11" s="355"/>
      <c r="EN11" s="81"/>
      <c r="EO11" s="166"/>
      <c r="EP11" s="355"/>
      <c r="EQ11" s="355"/>
      <c r="ER11" s="81"/>
      <c r="ES11" s="166"/>
      <c r="ET11" s="355"/>
      <c r="EU11" s="355"/>
      <c r="EV11" s="81"/>
      <c r="EW11" s="166"/>
      <c r="EX11" s="355"/>
      <c r="EY11" s="355"/>
      <c r="EZ11" s="81"/>
      <c r="FA11" s="166"/>
      <c r="FB11" s="355"/>
      <c r="FC11" s="355"/>
      <c r="FD11" s="81"/>
      <c r="FE11" s="166"/>
      <c r="FF11" s="355"/>
      <c r="FG11" s="13"/>
      <c r="FH11" s="81"/>
      <c r="FI11" s="166"/>
      <c r="FJ11" s="355"/>
      <c r="FK11" s="355"/>
      <c r="FL11" s="81"/>
      <c r="FM11" s="166"/>
      <c r="FN11" s="355"/>
      <c r="FO11" s="13"/>
      <c r="FP11" s="81"/>
      <c r="FQ11" s="166"/>
      <c r="FR11" s="355"/>
      <c r="FS11" s="355"/>
      <c r="FT11" s="81"/>
      <c r="FU11" s="166"/>
      <c r="FV11" s="355"/>
      <c r="FW11" s="355"/>
      <c r="FX11" s="81"/>
      <c r="FY11" s="166"/>
      <c r="FZ11" s="355"/>
      <c r="GA11" s="355"/>
      <c r="GB11" s="355"/>
      <c r="GC11" s="374"/>
      <c r="GD11" s="355"/>
      <c r="GE11" s="355"/>
      <c r="GF11" s="355"/>
      <c r="GG11" s="374"/>
      <c r="GH11" s="379"/>
      <c r="GI11" s="355"/>
      <c r="GJ11" s="355"/>
      <c r="GK11" s="374"/>
      <c r="GL11" s="355"/>
      <c r="GM11" s="355"/>
      <c r="GN11" s="355"/>
      <c r="GO11" s="374"/>
      <c r="GP11" s="355"/>
      <c r="GQ11" s="355"/>
      <c r="GR11" s="355"/>
      <c r="GS11" s="355"/>
      <c r="GT11" s="374"/>
      <c r="GU11" s="355"/>
      <c r="GV11" s="355"/>
      <c r="GW11" s="355"/>
      <c r="GX11" s="374"/>
      <c r="GY11" s="355"/>
      <c r="GZ11" s="355"/>
      <c r="HA11" s="355"/>
      <c r="HB11" s="374"/>
      <c r="HC11" s="355"/>
      <c r="HD11" s="355"/>
      <c r="HE11" s="355"/>
      <c r="HF11" s="374"/>
      <c r="HG11" s="355"/>
      <c r="HH11" s="355"/>
      <c r="HI11" s="355"/>
      <c r="HJ11" s="374"/>
      <c r="HK11" s="355"/>
      <c r="HL11" s="355"/>
      <c r="HM11" s="355"/>
      <c r="HN11" s="374"/>
      <c r="HO11" s="355"/>
      <c r="HP11" s="355"/>
      <c r="HQ11" s="355"/>
      <c r="HR11" s="374"/>
      <c r="HS11" s="355"/>
      <c r="HT11" s="13"/>
      <c r="HU11" s="188"/>
      <c r="HV11" s="166"/>
      <c r="HW11" s="188"/>
      <c r="HX11" s="188"/>
      <c r="HY11" s="188"/>
      <c r="HZ11" s="166"/>
      <c r="IA11" s="188"/>
      <c r="IB11" s="188"/>
      <c r="IC11" s="188"/>
      <c r="ID11" s="166"/>
      <c r="IE11" s="188"/>
      <c r="IF11" s="13"/>
      <c r="IG11" s="188"/>
      <c r="IH11" s="166"/>
      <c r="II11" s="188"/>
      <c r="IJ11" s="188"/>
      <c r="IK11" s="188"/>
      <c r="IL11" s="166"/>
      <c r="IM11" s="188"/>
      <c r="IN11" s="188"/>
      <c r="IO11" s="188"/>
      <c r="IP11" s="166"/>
      <c r="IQ11" s="188"/>
      <c r="IR11" s="188"/>
      <c r="IS11" s="188"/>
      <c r="IT11" s="166"/>
      <c r="IU11" s="188"/>
      <c r="IV11" s="188"/>
      <c r="IW11" s="188"/>
      <c r="IX11" s="166"/>
      <c r="IY11" s="188"/>
      <c r="IZ11" s="188"/>
      <c r="JA11" s="188"/>
      <c r="JB11" s="166"/>
      <c r="JC11" s="188"/>
      <c r="JD11" s="188"/>
      <c r="JE11" s="188"/>
      <c r="JF11" s="166"/>
      <c r="JG11" s="188"/>
      <c r="JH11" s="188"/>
      <c r="JI11" s="188"/>
      <c r="JJ11" s="166"/>
      <c r="JK11" s="188"/>
      <c r="JL11" s="188"/>
      <c r="JM11" s="188"/>
      <c r="JN11" s="188"/>
      <c r="JO11" s="166"/>
      <c r="JP11" s="188"/>
      <c r="JQ11" s="188"/>
      <c r="JR11" s="188"/>
      <c r="JS11" s="166"/>
      <c r="JT11" s="188"/>
      <c r="JU11" s="188"/>
      <c r="JV11" s="188"/>
      <c r="JW11" s="188"/>
      <c r="JX11" s="166"/>
      <c r="JY11" s="188"/>
      <c r="JZ11" s="188"/>
      <c r="KA11" s="188"/>
      <c r="KB11" s="188"/>
      <c r="KC11" s="166"/>
      <c r="KD11" s="188"/>
      <c r="KE11" s="188"/>
      <c r="KF11" s="188"/>
      <c r="KG11" s="188"/>
      <c r="KH11" s="166"/>
      <c r="KI11" s="188"/>
      <c r="KJ11" s="188"/>
      <c r="KK11" s="188"/>
      <c r="KL11" s="166"/>
      <c r="KM11" s="188"/>
      <c r="KN11" s="188"/>
      <c r="KO11" s="188"/>
      <c r="KP11" s="188"/>
      <c r="KQ11" s="188"/>
      <c r="KR11" s="188"/>
      <c r="KS11" s="188"/>
      <c r="KT11" s="188"/>
      <c r="KU11" s="188"/>
      <c r="KV11" s="188"/>
      <c r="KW11" s="188"/>
      <c r="KX11" s="166"/>
      <c r="KY11" s="188"/>
      <c r="KZ11" s="166"/>
      <c r="LA11" s="188"/>
      <c r="LB11" s="166"/>
      <c r="LC11" s="188"/>
      <c r="LD11" s="166"/>
      <c r="LE11" s="188"/>
      <c r="LF11" s="166"/>
      <c r="LG11" s="188"/>
      <c r="LH11" s="166"/>
      <c r="LI11" s="188"/>
      <c r="LJ11" s="166"/>
      <c r="LK11" s="188"/>
      <c r="LL11" s="166"/>
      <c r="LM11" s="188"/>
      <c r="LN11" s="166"/>
      <c r="LO11" s="188"/>
      <c r="LP11" s="166"/>
      <c r="LQ11" s="199"/>
      <c r="LR11" s="166"/>
      <c r="LS11" s="199"/>
      <c r="LT11" s="166"/>
      <c r="LU11" s="199"/>
      <c r="LV11" s="166"/>
      <c r="LW11" s="199"/>
      <c r="LX11" s="199"/>
      <c r="LY11" s="199"/>
      <c r="LZ11" s="156"/>
      <c r="MA11" s="199"/>
      <c r="MB11" s="156"/>
      <c r="MC11" s="199"/>
      <c r="MD11" s="156"/>
      <c r="ME11" s="199"/>
      <c r="MF11" s="156"/>
      <c r="MG11" s="199"/>
      <c r="MH11" s="156"/>
      <c r="MI11" s="199"/>
      <c r="MJ11" s="156"/>
      <c r="MK11" s="199"/>
      <c r="ML11" s="156"/>
      <c r="MM11" s="199"/>
      <c r="MN11" s="156"/>
      <c r="MO11" s="199"/>
      <c r="MP11" s="156"/>
      <c r="MQ11" s="199"/>
      <c r="MR11" s="156"/>
      <c r="MS11" s="156"/>
      <c r="MT11" s="156"/>
      <c r="MU11" s="156"/>
      <c r="MV11" s="156"/>
      <c r="MW11" s="156"/>
      <c r="MX11" s="156"/>
      <c r="MY11" s="156"/>
      <c r="MZ11" s="156"/>
      <c r="NA11" s="156"/>
      <c r="NB11" s="156"/>
      <c r="NC11" s="156"/>
      <c r="ND11" s="156"/>
      <c r="NE11" s="156"/>
      <c r="NF11" s="156"/>
      <c r="NG11" s="156"/>
      <c r="NH11" s="156"/>
      <c r="NI11" s="156"/>
      <c r="NJ11" s="156"/>
      <c r="NK11" s="156"/>
      <c r="NL11" s="156"/>
      <c r="NM11" s="156"/>
      <c r="NN11" s="156"/>
      <c r="NO11" s="156"/>
      <c r="NP11" s="156"/>
      <c r="NQ11" s="156"/>
      <c r="NR11" s="156"/>
      <c r="NS11" s="156"/>
      <c r="NT11" s="156"/>
      <c r="NU11" s="156"/>
      <c r="NV11" s="156"/>
      <c r="NW11" s="156"/>
      <c r="NX11" s="156"/>
      <c r="NY11" s="156"/>
      <c r="NZ11" s="156"/>
      <c r="OA11" s="156"/>
      <c r="OB11" s="156"/>
      <c r="OC11" s="156"/>
      <c r="OD11" s="156"/>
      <c r="OE11" s="156"/>
      <c r="OF11" s="156"/>
      <c r="OG11" s="156"/>
      <c r="OH11" s="156"/>
      <c r="OI11" s="156"/>
      <c r="OJ11" s="156"/>
      <c r="OK11" s="156"/>
      <c r="OL11" s="156"/>
      <c r="OM11" s="156"/>
      <c r="ON11" s="156"/>
      <c r="OO11" s="156"/>
      <c r="OP11" s="156"/>
      <c r="OQ11" s="156"/>
      <c r="OR11" s="156"/>
      <c r="OS11" s="156"/>
      <c r="OT11" s="156"/>
      <c r="OU11" s="156"/>
      <c r="OV11" s="156"/>
      <c r="OW11" s="156"/>
      <c r="OX11" s="156"/>
      <c r="OY11" s="156"/>
      <c r="OZ11" s="156"/>
      <c r="PA11" s="156"/>
      <c r="PB11" s="156"/>
      <c r="PC11" s="156"/>
      <c r="PD11" s="156"/>
      <c r="PE11" s="156"/>
      <c r="PF11" s="156"/>
      <c r="PG11" s="156"/>
      <c r="PH11" s="156"/>
      <c r="PI11" s="156"/>
      <c r="PJ11" s="156"/>
      <c r="PK11" s="156"/>
      <c r="PL11" s="156"/>
      <c r="PM11" s="156"/>
      <c r="PN11" s="156"/>
      <c r="PO11" s="156"/>
      <c r="PP11" s="156"/>
      <c r="PQ11" s="156"/>
    </row>
    <row r="12" spans="1:433">
      <c r="A12" s="7"/>
      <c r="B12" s="13"/>
      <c r="C12" s="13"/>
      <c r="D12" s="740"/>
      <c r="E12" s="735"/>
      <c r="F12" s="740"/>
      <c r="G12" s="13"/>
      <c r="H12" s="740"/>
      <c r="I12" s="13"/>
      <c r="J12" s="740"/>
      <c r="K12" s="13"/>
      <c r="L12" s="740"/>
      <c r="M12" s="744"/>
      <c r="N12" s="741"/>
      <c r="O12" s="13"/>
      <c r="P12" s="13"/>
      <c r="Q12" s="13"/>
      <c r="R12" s="695"/>
      <c r="S12" s="13"/>
      <c r="T12" s="13"/>
      <c r="U12" s="13"/>
      <c r="V12" s="695"/>
      <c r="W12" s="13"/>
      <c r="X12" s="13"/>
      <c r="Y12" s="13"/>
      <c r="Z12" s="673"/>
      <c r="AA12" s="200"/>
      <c r="AB12" s="676"/>
      <c r="AC12" s="13"/>
      <c r="AD12" s="13"/>
      <c r="AE12" s="200"/>
      <c r="AF12" s="81"/>
      <c r="AG12" s="200"/>
      <c r="AH12" s="355"/>
      <c r="AI12" s="355"/>
      <c r="AJ12" s="81"/>
      <c r="AK12" s="200"/>
      <c r="AL12" s="355"/>
      <c r="AM12" s="355"/>
      <c r="AN12" s="81"/>
      <c r="AO12" s="200"/>
      <c r="AP12" s="355"/>
      <c r="AQ12" s="355"/>
      <c r="AR12" s="81"/>
      <c r="AS12" s="200"/>
      <c r="AT12" s="355"/>
      <c r="AU12" s="355"/>
      <c r="AV12" s="81"/>
      <c r="AW12" s="200"/>
      <c r="AX12" s="355"/>
      <c r="AY12" s="355"/>
      <c r="AZ12" s="81"/>
      <c r="BA12" s="200"/>
      <c r="BB12" s="355"/>
      <c r="BC12" s="355"/>
      <c r="BD12" s="81"/>
      <c r="BE12" s="200"/>
      <c r="BF12" s="81"/>
      <c r="BG12" s="355"/>
      <c r="BH12" s="81"/>
      <c r="BI12" s="200"/>
      <c r="BJ12" s="355"/>
      <c r="BK12" s="355"/>
      <c r="BL12" s="81"/>
      <c r="BM12" s="200"/>
      <c r="BN12" s="81"/>
      <c r="BO12" s="200"/>
      <c r="BP12" s="81"/>
      <c r="BQ12" s="200"/>
      <c r="BR12" s="355"/>
      <c r="BS12" s="200"/>
      <c r="BT12" s="81"/>
      <c r="BU12" s="200"/>
      <c r="BV12" s="355"/>
      <c r="BW12" s="355"/>
      <c r="BX12" s="81"/>
      <c r="BY12" s="200"/>
      <c r="BZ12" s="355"/>
      <c r="CA12" s="355"/>
      <c r="CB12" s="81"/>
      <c r="CC12" s="200"/>
      <c r="CD12" s="355"/>
      <c r="CE12" s="355"/>
      <c r="CF12" s="81"/>
      <c r="CG12" s="200"/>
      <c r="CH12" s="355"/>
      <c r="CI12" s="355"/>
      <c r="CJ12" s="81"/>
      <c r="CK12" s="200"/>
      <c r="CL12" s="355"/>
      <c r="CM12" s="355"/>
      <c r="CN12" s="81"/>
      <c r="CO12" s="200"/>
      <c r="CP12" s="355"/>
      <c r="CQ12" s="355"/>
      <c r="CR12" s="81"/>
      <c r="CS12" s="200"/>
      <c r="CT12" s="355"/>
      <c r="CU12" s="355"/>
      <c r="CV12" s="81"/>
      <c r="CW12" s="200"/>
      <c r="CX12" s="355"/>
      <c r="CY12" s="355"/>
      <c r="CZ12" s="81"/>
      <c r="DA12" s="200"/>
      <c r="DB12" s="355"/>
      <c r="DC12" s="355"/>
      <c r="DD12" s="81"/>
      <c r="DE12" s="200"/>
      <c r="DF12" s="355"/>
      <c r="DG12" s="355"/>
      <c r="DH12" s="81"/>
      <c r="DI12" s="200"/>
      <c r="DJ12" s="355"/>
      <c r="DK12" s="355"/>
      <c r="DL12" s="81"/>
      <c r="DM12" s="200"/>
      <c r="DN12" s="355"/>
      <c r="DO12" s="355"/>
      <c r="DP12" s="81"/>
      <c r="DQ12" s="200"/>
      <c r="DR12" s="355"/>
      <c r="DS12" s="355"/>
      <c r="DT12" s="81"/>
      <c r="DU12" s="200"/>
      <c r="DV12" s="355"/>
      <c r="DW12" s="355"/>
      <c r="DX12" s="81"/>
      <c r="DY12" s="200"/>
      <c r="DZ12" s="355"/>
      <c r="EA12" s="355"/>
      <c r="EB12" s="81"/>
      <c r="EC12" s="200"/>
      <c r="ED12" s="355"/>
      <c r="EE12" s="355"/>
      <c r="EF12" s="81"/>
      <c r="EG12" s="200"/>
      <c r="EH12" s="355"/>
      <c r="EI12" s="355"/>
      <c r="EJ12" s="81"/>
      <c r="EK12" s="200"/>
      <c r="EL12" s="355"/>
      <c r="EM12" s="355"/>
      <c r="EN12" s="81"/>
      <c r="EO12" s="200"/>
      <c r="EP12" s="355"/>
      <c r="EQ12" s="355"/>
      <c r="ER12" s="81"/>
      <c r="ES12" s="200"/>
      <c r="ET12" s="355"/>
      <c r="EU12" s="355"/>
      <c r="EV12" s="81"/>
      <c r="EW12" s="200"/>
      <c r="EX12" s="355"/>
      <c r="EY12" s="355"/>
      <c r="EZ12" s="81"/>
      <c r="FA12" s="200"/>
      <c r="FB12" s="355"/>
      <c r="FC12" s="355"/>
      <c r="FD12" s="81"/>
      <c r="FE12" s="200"/>
      <c r="FF12" s="355"/>
      <c r="FG12" s="13"/>
      <c r="FH12" s="81"/>
      <c r="FI12" s="200"/>
      <c r="FJ12" s="355"/>
      <c r="FK12" s="355"/>
      <c r="FL12" s="81"/>
      <c r="FM12" s="200"/>
      <c r="FN12" s="355"/>
      <c r="FO12" s="13"/>
      <c r="FP12" s="81"/>
      <c r="FQ12" s="200"/>
      <c r="FR12" s="355"/>
      <c r="FS12" s="355"/>
      <c r="FT12" s="81"/>
      <c r="FU12" s="200"/>
      <c r="FV12" s="355"/>
      <c r="FW12" s="355"/>
      <c r="FX12" s="81"/>
      <c r="FY12" s="200"/>
      <c r="FZ12" s="355"/>
      <c r="GA12" s="355"/>
      <c r="GB12" s="355"/>
      <c r="GC12" s="377"/>
      <c r="GD12" s="355"/>
      <c r="GE12" s="355"/>
      <c r="GF12" s="355"/>
      <c r="GG12" s="377"/>
      <c r="GH12" s="379"/>
      <c r="GI12" s="355"/>
      <c r="GJ12" s="355"/>
      <c r="GK12" s="377"/>
      <c r="GL12" s="355"/>
      <c r="GM12" s="355"/>
      <c r="GN12" s="355"/>
      <c r="GO12" s="377"/>
      <c r="GP12" s="355"/>
      <c r="GQ12" s="355"/>
      <c r="GR12" s="355"/>
      <c r="GS12" s="355"/>
      <c r="GT12" s="377"/>
      <c r="GU12" s="355"/>
      <c r="GV12" s="355"/>
      <c r="GW12" s="355"/>
      <c r="GX12" s="377"/>
      <c r="GY12" s="355"/>
      <c r="GZ12" s="355"/>
      <c r="HA12" s="355"/>
      <c r="HB12" s="377"/>
      <c r="HC12" s="355"/>
      <c r="HD12" s="355"/>
      <c r="HE12" s="355"/>
      <c r="HF12" s="377"/>
      <c r="HG12" s="355"/>
      <c r="HH12" s="355"/>
      <c r="HI12" s="355"/>
      <c r="HJ12" s="377"/>
      <c r="HK12" s="355"/>
      <c r="HL12" s="355"/>
      <c r="HM12" s="355"/>
      <c r="HN12" s="377"/>
      <c r="HO12" s="355"/>
      <c r="HP12" s="355"/>
      <c r="HQ12" s="355"/>
      <c r="HR12" s="377"/>
      <c r="HS12" s="355"/>
      <c r="HT12" s="13"/>
      <c r="HU12" s="188"/>
      <c r="HV12" s="200"/>
      <c r="HW12" s="188"/>
      <c r="HX12" s="188"/>
      <c r="HY12" s="188"/>
      <c r="HZ12" s="200"/>
      <c r="IA12" s="188"/>
      <c r="IB12" s="188"/>
      <c r="IC12" s="188"/>
      <c r="ID12" s="200"/>
      <c r="IE12" s="188"/>
      <c r="IF12" s="13"/>
      <c r="IG12" s="188"/>
      <c r="IH12" s="200"/>
      <c r="II12" s="188"/>
      <c r="IJ12" s="188"/>
      <c r="IK12" s="188"/>
      <c r="IL12" s="200"/>
      <c r="IM12" s="188"/>
      <c r="IN12" s="188"/>
      <c r="IO12" s="188"/>
      <c r="IP12" s="200"/>
      <c r="IQ12" s="188"/>
      <c r="IR12" s="188"/>
      <c r="IS12" s="188"/>
      <c r="IT12" s="200"/>
      <c r="IU12" s="188"/>
      <c r="IV12" s="188"/>
      <c r="IW12" s="188"/>
      <c r="IX12" s="200"/>
      <c r="IY12" s="188"/>
      <c r="IZ12" s="188"/>
      <c r="JA12" s="188"/>
      <c r="JB12" s="200"/>
      <c r="JC12" s="188"/>
      <c r="JD12" s="188"/>
      <c r="JE12" s="188"/>
      <c r="JF12" s="200"/>
      <c r="JG12" s="188"/>
      <c r="JH12" s="188"/>
      <c r="JI12" s="188"/>
      <c r="JJ12" s="200"/>
      <c r="JK12" s="188"/>
      <c r="JL12" s="188"/>
      <c r="JM12" s="188"/>
      <c r="JN12" s="188"/>
      <c r="JO12" s="200"/>
      <c r="JP12" s="188"/>
      <c r="JQ12" s="188"/>
      <c r="JR12" s="188"/>
      <c r="JS12" s="200"/>
      <c r="JT12" s="188"/>
      <c r="JU12" s="188"/>
      <c r="JV12" s="188"/>
      <c r="JW12" s="188"/>
      <c r="JX12" s="200"/>
      <c r="JY12" s="188"/>
      <c r="JZ12" s="188"/>
      <c r="KA12" s="188"/>
      <c r="KB12" s="188"/>
      <c r="KC12" s="200"/>
      <c r="KD12" s="188"/>
      <c r="KE12" s="188"/>
      <c r="KF12" s="188"/>
      <c r="KG12" s="188"/>
      <c r="KH12" s="200"/>
      <c r="KI12" s="188"/>
      <c r="KJ12" s="188"/>
      <c r="KK12" s="188"/>
      <c r="KL12" s="200"/>
      <c r="KM12" s="188"/>
      <c r="KN12" s="188"/>
      <c r="KO12" s="188"/>
      <c r="KP12" s="188"/>
      <c r="KQ12" s="188"/>
      <c r="KR12" s="188"/>
      <c r="KS12" s="188"/>
      <c r="KT12" s="188"/>
      <c r="KU12" s="188"/>
      <c r="KV12" s="188"/>
      <c r="KW12" s="188"/>
      <c r="KX12" s="200"/>
      <c r="KY12" s="188"/>
      <c r="KZ12" s="200"/>
      <c r="LA12" s="188"/>
      <c r="LB12" s="200"/>
      <c r="LC12" s="188"/>
      <c r="LD12" s="200"/>
      <c r="LE12" s="188"/>
      <c r="LF12" s="200"/>
      <c r="LG12" s="188"/>
      <c r="LH12" s="200"/>
      <c r="LI12" s="188"/>
      <c r="LJ12" s="200"/>
      <c r="LK12" s="188"/>
      <c r="LL12" s="200"/>
      <c r="LM12" s="188"/>
      <c r="LN12" s="200"/>
      <c r="LO12" s="188"/>
      <c r="LP12" s="200"/>
      <c r="LQ12" s="166"/>
      <c r="LR12" s="200"/>
      <c r="LS12" s="166"/>
      <c r="LT12" s="200"/>
      <c r="LU12" s="166"/>
      <c r="LV12" s="200"/>
      <c r="LW12" s="166"/>
      <c r="LX12" s="166"/>
      <c r="LY12" s="166"/>
      <c r="LZ12" s="156"/>
      <c r="MA12" s="166"/>
      <c r="MB12" s="156"/>
      <c r="MC12" s="166"/>
      <c r="MD12" s="156"/>
      <c r="ME12" s="166"/>
      <c r="MF12" s="156"/>
      <c r="MG12" s="201"/>
      <c r="MH12" s="156"/>
      <c r="MI12" s="166"/>
      <c r="MJ12" s="156"/>
      <c r="MK12" s="201"/>
      <c r="ML12" s="156"/>
      <c r="MM12" s="166"/>
      <c r="MN12" s="156"/>
      <c r="MO12" s="201"/>
      <c r="MP12" s="156"/>
      <c r="MQ12" s="166"/>
      <c r="MR12" s="156"/>
      <c r="MS12" s="156"/>
      <c r="MT12" s="156"/>
      <c r="MU12" s="156"/>
      <c r="MV12" s="156"/>
      <c r="MW12" s="156"/>
      <c r="MX12" s="156"/>
      <c r="MY12" s="156"/>
      <c r="MZ12" s="156"/>
      <c r="NA12" s="156"/>
      <c r="NB12" s="156"/>
      <c r="NC12" s="156"/>
      <c r="ND12" s="156"/>
      <c r="NE12" s="156"/>
      <c r="NF12" s="156"/>
      <c r="NG12" s="156"/>
      <c r="NH12" s="156"/>
      <c r="NI12" s="156"/>
      <c r="NJ12" s="156"/>
      <c r="NK12" s="156"/>
      <c r="NL12" s="156"/>
      <c r="NM12" s="156"/>
      <c r="NN12" s="156"/>
      <c r="NO12" s="156"/>
      <c r="NP12" s="156"/>
      <c r="NQ12" s="156"/>
      <c r="NR12" s="156"/>
      <c r="NS12" s="156"/>
      <c r="NT12" s="156"/>
      <c r="NU12" s="156"/>
      <c r="NV12" s="156"/>
      <c r="NW12" s="156"/>
      <c r="NX12" s="156"/>
      <c r="NY12" s="156"/>
      <c r="NZ12" s="156"/>
      <c r="OA12" s="156"/>
      <c r="OB12" s="156"/>
      <c r="OC12" s="156"/>
      <c r="OD12" s="156"/>
      <c r="OE12" s="156"/>
      <c r="OF12" s="156"/>
      <c r="OG12" s="156"/>
      <c r="OH12" s="156"/>
      <c r="OI12" s="156"/>
      <c r="OJ12" s="156"/>
      <c r="OK12" s="156"/>
      <c r="OL12" s="156"/>
      <c r="OM12" s="156"/>
      <c r="ON12" s="156"/>
      <c r="OO12" s="156"/>
      <c r="OP12" s="156"/>
      <c r="OQ12" s="156"/>
      <c r="OR12" s="156"/>
      <c r="OS12" s="156"/>
      <c r="OT12" s="156"/>
      <c r="OU12" s="156"/>
      <c r="OV12" s="156"/>
      <c r="OW12" s="156"/>
      <c r="OX12" s="156"/>
      <c r="OY12" s="156"/>
      <c r="OZ12" s="156"/>
      <c r="PA12" s="156"/>
      <c r="PB12" s="156"/>
      <c r="PC12" s="156"/>
      <c r="PD12" s="156"/>
      <c r="PE12" s="156"/>
      <c r="PF12" s="156"/>
      <c r="PG12" s="156"/>
      <c r="PH12" s="156"/>
      <c r="PI12" s="156"/>
      <c r="PJ12" s="156"/>
      <c r="PK12" s="156"/>
      <c r="PL12" s="156"/>
      <c r="PM12" s="156"/>
      <c r="PN12" s="156"/>
      <c r="PO12" s="156"/>
      <c r="PP12" s="156"/>
      <c r="PQ12" s="156"/>
    </row>
    <row r="13" spans="1:433">
      <c r="A13" s="7"/>
      <c r="B13" s="13"/>
      <c r="C13" s="13"/>
      <c r="D13" s="740"/>
      <c r="E13" s="735"/>
      <c r="F13" s="740"/>
      <c r="G13" s="13"/>
      <c r="H13" s="740"/>
      <c r="I13" s="13"/>
      <c r="J13" s="740"/>
      <c r="K13" s="13"/>
      <c r="L13" s="740"/>
      <c r="M13" s="742"/>
      <c r="N13" s="741"/>
      <c r="O13" s="13"/>
      <c r="P13" s="13"/>
      <c r="Q13" s="13"/>
      <c r="R13" s="695"/>
      <c r="S13" s="13"/>
      <c r="T13" s="13"/>
      <c r="U13" s="13"/>
      <c r="V13" s="695"/>
      <c r="W13" s="13"/>
      <c r="X13" s="13"/>
      <c r="Y13" s="13"/>
      <c r="Z13" s="674"/>
      <c r="AA13" s="184"/>
      <c r="AB13" s="676"/>
      <c r="AC13" s="13"/>
      <c r="AD13" s="13"/>
      <c r="AE13" s="184"/>
      <c r="AF13" s="81"/>
      <c r="AG13" s="184"/>
      <c r="AH13" s="355"/>
      <c r="AI13" s="355"/>
      <c r="AJ13" s="81"/>
      <c r="AK13" s="184"/>
      <c r="AL13" s="355"/>
      <c r="AM13" s="355"/>
      <c r="AN13" s="81"/>
      <c r="AO13" s="184"/>
      <c r="AP13" s="355"/>
      <c r="AQ13" s="355"/>
      <c r="AR13" s="81"/>
      <c r="AS13" s="184"/>
      <c r="AT13" s="355"/>
      <c r="AU13" s="355"/>
      <c r="AV13" s="81"/>
      <c r="AW13" s="184"/>
      <c r="AX13" s="355"/>
      <c r="AY13" s="355"/>
      <c r="AZ13" s="81"/>
      <c r="BA13" s="184"/>
      <c r="BB13" s="355"/>
      <c r="BC13" s="355"/>
      <c r="BD13" s="81"/>
      <c r="BE13" s="184"/>
      <c r="BF13" s="81"/>
      <c r="BG13" s="355"/>
      <c r="BH13" s="81"/>
      <c r="BI13" s="184"/>
      <c r="BJ13" s="355"/>
      <c r="BK13" s="355"/>
      <c r="BL13" s="81"/>
      <c r="BM13" s="184"/>
      <c r="BN13" s="81"/>
      <c r="BO13" s="184"/>
      <c r="BP13" s="81"/>
      <c r="BQ13" s="184"/>
      <c r="BR13" s="355"/>
      <c r="BS13" s="184"/>
      <c r="BT13" s="81"/>
      <c r="BU13" s="184"/>
      <c r="BV13" s="355"/>
      <c r="BW13" s="355"/>
      <c r="BX13" s="81"/>
      <c r="BY13" s="184"/>
      <c r="BZ13" s="355"/>
      <c r="CA13" s="355"/>
      <c r="CB13" s="81"/>
      <c r="CC13" s="184"/>
      <c r="CD13" s="355"/>
      <c r="CE13" s="355"/>
      <c r="CF13" s="81"/>
      <c r="CG13" s="184"/>
      <c r="CH13" s="355"/>
      <c r="CI13" s="355"/>
      <c r="CJ13" s="81"/>
      <c r="CK13" s="184"/>
      <c r="CL13" s="355"/>
      <c r="CM13" s="355"/>
      <c r="CN13" s="81"/>
      <c r="CO13" s="184"/>
      <c r="CP13" s="355"/>
      <c r="CQ13" s="355"/>
      <c r="CR13" s="81"/>
      <c r="CS13" s="184"/>
      <c r="CT13" s="355"/>
      <c r="CU13" s="355"/>
      <c r="CV13" s="81"/>
      <c r="CW13" s="184"/>
      <c r="CX13" s="355"/>
      <c r="CY13" s="355"/>
      <c r="CZ13" s="81"/>
      <c r="DA13" s="184"/>
      <c r="DB13" s="355"/>
      <c r="DC13" s="355"/>
      <c r="DD13" s="81"/>
      <c r="DE13" s="184"/>
      <c r="DF13" s="355"/>
      <c r="DG13" s="355"/>
      <c r="DH13" s="81"/>
      <c r="DI13" s="184"/>
      <c r="DJ13" s="355"/>
      <c r="DK13" s="355"/>
      <c r="DL13" s="81"/>
      <c r="DM13" s="184"/>
      <c r="DN13" s="355"/>
      <c r="DO13" s="355"/>
      <c r="DP13" s="81"/>
      <c r="DQ13" s="184"/>
      <c r="DR13" s="355"/>
      <c r="DS13" s="355"/>
      <c r="DT13" s="81"/>
      <c r="DU13" s="184"/>
      <c r="DV13" s="355"/>
      <c r="DW13" s="355"/>
      <c r="DX13" s="81"/>
      <c r="DY13" s="184"/>
      <c r="DZ13" s="355"/>
      <c r="EA13" s="355"/>
      <c r="EB13" s="81"/>
      <c r="EC13" s="184"/>
      <c r="ED13" s="355"/>
      <c r="EE13" s="355"/>
      <c r="EF13" s="81"/>
      <c r="EG13" s="184"/>
      <c r="EH13" s="355"/>
      <c r="EI13" s="355"/>
      <c r="EJ13" s="81"/>
      <c r="EK13" s="184"/>
      <c r="EL13" s="355"/>
      <c r="EM13" s="355"/>
      <c r="EN13" s="81"/>
      <c r="EO13" s="184"/>
      <c r="EP13" s="355"/>
      <c r="EQ13" s="355"/>
      <c r="ER13" s="81"/>
      <c r="ES13" s="184"/>
      <c r="ET13" s="355"/>
      <c r="EU13" s="355"/>
      <c r="EV13" s="81"/>
      <c r="EW13" s="184"/>
      <c r="EX13" s="355"/>
      <c r="EY13" s="355"/>
      <c r="EZ13" s="81"/>
      <c r="FA13" s="184"/>
      <c r="FB13" s="355"/>
      <c r="FC13" s="355"/>
      <c r="FD13" s="81"/>
      <c r="FE13" s="184"/>
      <c r="FF13" s="355"/>
      <c r="FG13" s="13"/>
      <c r="FH13" s="81"/>
      <c r="FI13" s="184"/>
      <c r="FJ13" s="355"/>
      <c r="FK13" s="355"/>
      <c r="FL13" s="81"/>
      <c r="FM13" s="184"/>
      <c r="FN13" s="355"/>
      <c r="FO13" s="13"/>
      <c r="FP13" s="81"/>
      <c r="FQ13" s="184"/>
      <c r="FR13" s="355"/>
      <c r="FS13" s="355"/>
      <c r="FT13" s="81"/>
      <c r="FU13" s="184"/>
      <c r="FV13" s="355"/>
      <c r="FW13" s="355"/>
      <c r="FX13" s="81"/>
      <c r="FY13" s="184"/>
      <c r="FZ13" s="355"/>
      <c r="GA13" s="355"/>
      <c r="GB13" s="355"/>
      <c r="GC13" s="373"/>
      <c r="GD13" s="355"/>
      <c r="GE13" s="355"/>
      <c r="GF13" s="355"/>
      <c r="GG13" s="373"/>
      <c r="GH13" s="379"/>
      <c r="GI13" s="355"/>
      <c r="GJ13" s="355"/>
      <c r="GK13" s="373"/>
      <c r="GL13" s="355"/>
      <c r="GM13" s="355"/>
      <c r="GN13" s="355"/>
      <c r="GO13" s="373"/>
      <c r="GP13" s="355"/>
      <c r="GQ13" s="355"/>
      <c r="GR13" s="355"/>
      <c r="GS13" s="355"/>
      <c r="GT13" s="373"/>
      <c r="GU13" s="355"/>
      <c r="GV13" s="355"/>
      <c r="GW13" s="355"/>
      <c r="GX13" s="373"/>
      <c r="GY13" s="355"/>
      <c r="GZ13" s="355"/>
      <c r="HA13" s="355"/>
      <c r="HB13" s="373"/>
      <c r="HC13" s="355"/>
      <c r="HD13" s="355"/>
      <c r="HE13" s="355"/>
      <c r="HF13" s="373"/>
      <c r="HG13" s="355"/>
      <c r="HH13" s="355"/>
      <c r="HI13" s="355"/>
      <c r="HJ13" s="373"/>
      <c r="HK13" s="355"/>
      <c r="HL13" s="355"/>
      <c r="HM13" s="355"/>
      <c r="HN13" s="373"/>
      <c r="HO13" s="355"/>
      <c r="HP13" s="355"/>
      <c r="HQ13" s="355"/>
      <c r="HR13" s="373"/>
      <c r="HS13" s="355"/>
      <c r="HT13" s="13"/>
      <c r="HU13" s="188"/>
      <c r="HV13" s="184"/>
      <c r="HW13" s="188"/>
      <c r="HX13" s="188"/>
      <c r="HY13" s="188"/>
      <c r="HZ13" s="184"/>
      <c r="IA13" s="188"/>
      <c r="IB13" s="188"/>
      <c r="IC13" s="188"/>
      <c r="ID13" s="184"/>
      <c r="IE13" s="188"/>
      <c r="IF13" s="13"/>
      <c r="IG13" s="188"/>
      <c r="IH13" s="184"/>
      <c r="II13" s="188"/>
      <c r="IJ13" s="188"/>
      <c r="IK13" s="188"/>
      <c r="IL13" s="184"/>
      <c r="IM13" s="188"/>
      <c r="IN13" s="188"/>
      <c r="IO13" s="188"/>
      <c r="IP13" s="184"/>
      <c r="IQ13" s="188"/>
      <c r="IR13" s="188"/>
      <c r="IS13" s="188"/>
      <c r="IT13" s="184"/>
      <c r="IU13" s="188"/>
      <c r="IV13" s="188"/>
      <c r="IW13" s="188"/>
      <c r="IX13" s="184"/>
      <c r="IY13" s="188"/>
      <c r="IZ13" s="188"/>
      <c r="JA13" s="188"/>
      <c r="JB13" s="184"/>
      <c r="JC13" s="188"/>
      <c r="JD13" s="188"/>
      <c r="JE13" s="188"/>
      <c r="JF13" s="184"/>
      <c r="JG13" s="188"/>
      <c r="JH13" s="188"/>
      <c r="JI13" s="188"/>
      <c r="JJ13" s="184"/>
      <c r="JK13" s="188"/>
      <c r="JL13" s="188"/>
      <c r="JM13" s="188"/>
      <c r="JN13" s="188"/>
      <c r="JO13" s="184"/>
      <c r="JP13" s="188"/>
      <c r="JQ13" s="188"/>
      <c r="JR13" s="188"/>
      <c r="JS13" s="184"/>
      <c r="JT13" s="188"/>
      <c r="JU13" s="188"/>
      <c r="JV13" s="188"/>
      <c r="JW13" s="188"/>
      <c r="JX13" s="184"/>
      <c r="JY13" s="188"/>
      <c r="JZ13" s="188"/>
      <c r="KA13" s="188"/>
      <c r="KB13" s="188"/>
      <c r="KC13" s="184"/>
      <c r="KD13" s="188"/>
      <c r="KE13" s="188"/>
      <c r="KF13" s="188"/>
      <c r="KG13" s="188"/>
      <c r="KH13" s="184"/>
      <c r="KI13" s="188"/>
      <c r="KJ13" s="188"/>
      <c r="KK13" s="188"/>
      <c r="KL13" s="184"/>
      <c r="KM13" s="188"/>
      <c r="KN13" s="188"/>
      <c r="KO13" s="188"/>
      <c r="KP13" s="188"/>
      <c r="KQ13" s="188"/>
      <c r="KR13" s="188"/>
      <c r="KS13" s="188"/>
      <c r="KT13" s="188"/>
      <c r="KU13" s="188"/>
      <c r="KV13" s="188"/>
      <c r="KW13" s="188"/>
      <c r="KX13" s="184"/>
      <c r="KY13" s="188"/>
      <c r="KZ13" s="184"/>
      <c r="LA13" s="188"/>
      <c r="LB13" s="184"/>
      <c r="LC13" s="188"/>
      <c r="LD13" s="184"/>
      <c r="LE13" s="188"/>
      <c r="LF13" s="184"/>
      <c r="LG13" s="188"/>
      <c r="LH13" s="184"/>
      <c r="LI13" s="188"/>
      <c r="LJ13" s="184"/>
      <c r="LK13" s="188"/>
      <c r="LL13" s="184"/>
      <c r="LM13" s="188"/>
      <c r="LN13" s="184"/>
      <c r="LO13" s="188"/>
      <c r="LP13" s="184"/>
      <c r="LQ13" s="200"/>
      <c r="LR13" s="184"/>
      <c r="LS13" s="200"/>
      <c r="LT13" s="184"/>
      <c r="LU13" s="200"/>
      <c r="LV13" s="184"/>
      <c r="LW13" s="200"/>
      <c r="LX13" s="200"/>
      <c r="LY13" s="200"/>
      <c r="LZ13" s="156"/>
      <c r="MA13" s="200"/>
      <c r="MB13" s="156"/>
      <c r="MC13" s="200"/>
      <c r="MD13" s="156"/>
      <c r="ME13" s="200"/>
      <c r="MF13" s="156"/>
      <c r="MG13" s="200"/>
      <c r="MH13" s="156"/>
      <c r="MI13" s="200"/>
      <c r="MJ13" s="156"/>
      <c r="MK13" s="200"/>
      <c r="ML13" s="156"/>
      <c r="MM13" s="200"/>
      <c r="MN13" s="156"/>
      <c r="MO13" s="200"/>
      <c r="MP13" s="156"/>
      <c r="MQ13" s="200"/>
      <c r="MR13" s="156"/>
      <c r="MS13" s="156"/>
      <c r="MT13" s="156"/>
      <c r="MU13" s="156"/>
      <c r="MV13" s="156"/>
      <c r="MW13" s="156"/>
      <c r="MX13" s="156"/>
      <c r="MY13" s="156"/>
      <c r="MZ13" s="156"/>
      <c r="NA13" s="156"/>
      <c r="NB13" s="156"/>
      <c r="NC13" s="156"/>
      <c r="ND13" s="156"/>
      <c r="NE13" s="156"/>
      <c r="NF13" s="156"/>
      <c r="NG13" s="156"/>
      <c r="NH13" s="156"/>
      <c r="NI13" s="156"/>
      <c r="NJ13" s="156"/>
      <c r="NK13" s="156"/>
      <c r="NL13" s="156"/>
      <c r="NM13" s="156"/>
      <c r="NN13" s="156"/>
      <c r="NO13" s="156"/>
      <c r="NP13" s="156"/>
      <c r="NQ13" s="156"/>
      <c r="NR13" s="156"/>
      <c r="NS13" s="156"/>
      <c r="NT13" s="156"/>
      <c r="NU13" s="156"/>
      <c r="NV13" s="156"/>
      <c r="NW13" s="156"/>
      <c r="NX13" s="156"/>
      <c r="NY13" s="156"/>
      <c r="NZ13" s="156"/>
      <c r="OA13" s="156"/>
      <c r="OB13" s="156"/>
      <c r="OC13" s="156"/>
      <c r="OD13" s="156"/>
      <c r="OE13" s="156"/>
      <c r="OF13" s="156"/>
      <c r="OG13" s="156"/>
      <c r="OH13" s="156"/>
      <c r="OI13" s="156"/>
      <c r="OJ13" s="156"/>
      <c r="OK13" s="156"/>
      <c r="OL13" s="156"/>
      <c r="OM13" s="156"/>
      <c r="ON13" s="156"/>
      <c r="OO13" s="156"/>
      <c r="OP13" s="156"/>
      <c r="OQ13" s="156"/>
      <c r="OR13" s="156"/>
      <c r="OS13" s="156"/>
      <c r="OT13" s="156"/>
      <c r="OU13" s="156"/>
      <c r="OV13" s="156"/>
      <c r="OW13" s="156"/>
      <c r="OX13" s="156"/>
      <c r="OY13" s="156"/>
      <c r="OZ13" s="156"/>
      <c r="PA13" s="156"/>
      <c r="PB13" s="156"/>
      <c r="PC13" s="156"/>
      <c r="PD13" s="156"/>
      <c r="PE13" s="156"/>
      <c r="PF13" s="156"/>
      <c r="PG13" s="156"/>
      <c r="PH13" s="156"/>
      <c r="PI13" s="156"/>
      <c r="PJ13" s="156"/>
      <c r="PK13" s="156"/>
      <c r="PL13" s="156"/>
      <c r="PM13" s="156"/>
      <c r="PN13" s="156"/>
      <c r="PO13" s="156"/>
      <c r="PP13" s="156"/>
      <c r="PQ13" s="156"/>
    </row>
    <row r="14" spans="1:433">
      <c r="A14" s="7"/>
      <c r="B14" s="13"/>
      <c r="C14" s="13"/>
      <c r="D14" s="740"/>
      <c r="E14" s="735"/>
      <c r="F14" s="740"/>
      <c r="G14" s="13"/>
      <c r="H14" s="740"/>
      <c r="I14" s="13"/>
      <c r="J14" s="740"/>
      <c r="K14" s="13"/>
      <c r="L14" s="740"/>
      <c r="M14" s="745"/>
      <c r="N14" s="741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93"/>
      <c r="AB14" s="13"/>
      <c r="AC14" s="13"/>
      <c r="AD14" s="13"/>
      <c r="AE14" s="193"/>
      <c r="AF14" s="81"/>
      <c r="AG14" s="193"/>
      <c r="AH14" s="355"/>
      <c r="AI14" s="355"/>
      <c r="AJ14" s="81"/>
      <c r="AK14" s="193"/>
      <c r="AL14" s="355"/>
      <c r="AM14" s="355"/>
      <c r="AN14" s="81"/>
      <c r="AO14" s="193"/>
      <c r="AP14" s="355"/>
      <c r="AQ14" s="355"/>
      <c r="AR14" s="81"/>
      <c r="AS14" s="193"/>
      <c r="AT14" s="355"/>
      <c r="AU14" s="355"/>
      <c r="AV14" s="81"/>
      <c r="AW14" s="193"/>
      <c r="AX14" s="355"/>
      <c r="AY14" s="355"/>
      <c r="AZ14" s="81"/>
      <c r="BA14" s="193"/>
      <c r="BB14" s="355"/>
      <c r="BC14" s="355"/>
      <c r="BD14" s="81"/>
      <c r="BE14" s="193"/>
      <c r="BF14" s="81"/>
      <c r="BG14" s="355"/>
      <c r="BH14" s="81"/>
      <c r="BI14" s="193"/>
      <c r="BJ14" s="355"/>
      <c r="BK14" s="355"/>
      <c r="BL14" s="81"/>
      <c r="BM14" s="193"/>
      <c r="BN14" s="81"/>
      <c r="BO14" s="193"/>
      <c r="BP14" s="81"/>
      <c r="BQ14" s="193"/>
      <c r="BR14" s="355"/>
      <c r="BS14" s="193"/>
      <c r="BT14" s="81"/>
      <c r="BU14" s="193"/>
      <c r="BV14" s="355"/>
      <c r="BW14" s="355"/>
      <c r="BX14" s="81"/>
      <c r="BY14" s="193"/>
      <c r="BZ14" s="355"/>
      <c r="CA14" s="355"/>
      <c r="CB14" s="81"/>
      <c r="CC14" s="193"/>
      <c r="CD14" s="355"/>
      <c r="CE14" s="355"/>
      <c r="CF14" s="81"/>
      <c r="CG14" s="193"/>
      <c r="CH14" s="355"/>
      <c r="CI14" s="355"/>
      <c r="CJ14" s="81"/>
      <c r="CK14" s="193"/>
      <c r="CL14" s="355"/>
      <c r="CM14" s="355"/>
      <c r="CN14" s="81"/>
      <c r="CO14" s="193"/>
      <c r="CP14" s="355"/>
      <c r="CQ14" s="355"/>
      <c r="CR14" s="81"/>
      <c r="CS14" s="193"/>
      <c r="CT14" s="355"/>
      <c r="CU14" s="355"/>
      <c r="CV14" s="81"/>
      <c r="CW14" s="193"/>
      <c r="CX14" s="355"/>
      <c r="CY14" s="355"/>
      <c r="CZ14" s="81"/>
      <c r="DA14" s="193"/>
      <c r="DB14" s="355"/>
      <c r="DC14" s="355"/>
      <c r="DD14" s="81"/>
      <c r="DE14" s="193"/>
      <c r="DF14" s="355"/>
      <c r="DG14" s="355"/>
      <c r="DH14" s="81"/>
      <c r="DI14" s="193"/>
      <c r="DJ14" s="355"/>
      <c r="DK14" s="355"/>
      <c r="DL14" s="81"/>
      <c r="DM14" s="193"/>
      <c r="DN14" s="355"/>
      <c r="DO14" s="355"/>
      <c r="DP14" s="81"/>
      <c r="DQ14" s="193"/>
      <c r="DR14" s="355"/>
      <c r="DS14" s="355"/>
      <c r="DT14" s="81"/>
      <c r="DU14" s="193"/>
      <c r="DV14" s="355"/>
      <c r="DW14" s="355"/>
      <c r="DX14" s="81"/>
      <c r="DY14" s="193"/>
      <c r="DZ14" s="355"/>
      <c r="EA14" s="355"/>
      <c r="EB14" s="81"/>
      <c r="EC14" s="193"/>
      <c r="ED14" s="355"/>
      <c r="EE14" s="355"/>
      <c r="EF14" s="81"/>
      <c r="EG14" s="193"/>
      <c r="EH14" s="355"/>
      <c r="EI14" s="355"/>
      <c r="EJ14" s="81"/>
      <c r="EK14" s="193"/>
      <c r="EL14" s="355"/>
      <c r="EM14" s="355"/>
      <c r="EN14" s="81"/>
      <c r="EO14" s="193"/>
      <c r="EP14" s="355"/>
      <c r="EQ14" s="355"/>
      <c r="ER14" s="81"/>
      <c r="ES14" s="193"/>
      <c r="ET14" s="355"/>
      <c r="EU14" s="355"/>
      <c r="EV14" s="81"/>
      <c r="EW14" s="193"/>
      <c r="EX14" s="355"/>
      <c r="EY14" s="355"/>
      <c r="EZ14" s="81"/>
      <c r="FA14" s="193"/>
      <c r="FB14" s="355"/>
      <c r="FC14" s="355"/>
      <c r="FD14" s="81"/>
      <c r="FE14" s="193"/>
      <c r="FF14" s="355"/>
      <c r="FG14" s="13"/>
      <c r="FH14" s="81"/>
      <c r="FI14" s="193"/>
      <c r="FJ14" s="355"/>
      <c r="FK14" s="355"/>
      <c r="FL14" s="81"/>
      <c r="FM14" s="193"/>
      <c r="FN14" s="355"/>
      <c r="FO14" s="13"/>
      <c r="FP14" s="81"/>
      <c r="FQ14" s="193"/>
      <c r="FR14" s="355"/>
      <c r="FS14" s="355"/>
      <c r="FT14" s="81"/>
      <c r="FU14" s="193"/>
      <c r="FV14" s="355"/>
      <c r="FW14" s="355"/>
      <c r="FX14" s="81"/>
      <c r="FY14" s="193"/>
      <c r="FZ14" s="355"/>
      <c r="GA14" s="355"/>
      <c r="GB14" s="355"/>
      <c r="GC14" s="141"/>
      <c r="GD14" s="355"/>
      <c r="GE14" s="355"/>
      <c r="GF14" s="355"/>
      <c r="GG14" s="141"/>
      <c r="GH14" s="379"/>
      <c r="GI14" s="355"/>
      <c r="GJ14" s="355"/>
      <c r="GK14" s="141"/>
      <c r="GL14" s="355"/>
      <c r="GM14" s="355"/>
      <c r="GN14" s="355"/>
      <c r="GO14" s="141"/>
      <c r="GP14" s="355"/>
      <c r="GQ14" s="355"/>
      <c r="GR14" s="355"/>
      <c r="GS14" s="355"/>
      <c r="GT14" s="141"/>
      <c r="GU14" s="355"/>
      <c r="GV14" s="355"/>
      <c r="GW14" s="355"/>
      <c r="GX14" s="141"/>
      <c r="GY14" s="355"/>
      <c r="GZ14" s="355"/>
      <c r="HA14" s="355"/>
      <c r="HB14" s="141"/>
      <c r="HC14" s="355"/>
      <c r="HD14" s="355"/>
      <c r="HE14" s="355"/>
      <c r="HF14" s="141"/>
      <c r="HG14" s="355"/>
      <c r="HH14" s="355"/>
      <c r="HI14" s="355"/>
      <c r="HJ14" s="141"/>
      <c r="HK14" s="355"/>
      <c r="HL14" s="355"/>
      <c r="HM14" s="355"/>
      <c r="HN14" s="141"/>
      <c r="HO14" s="355"/>
      <c r="HP14" s="355"/>
      <c r="HQ14" s="355"/>
      <c r="HR14" s="141"/>
      <c r="HS14" s="355"/>
      <c r="HT14" s="13"/>
      <c r="HU14" s="188"/>
      <c r="HV14" s="193"/>
      <c r="HW14" s="188"/>
      <c r="HX14" s="188"/>
      <c r="HY14" s="188"/>
      <c r="HZ14" s="193"/>
      <c r="IA14" s="188"/>
      <c r="IB14" s="188"/>
      <c r="IC14" s="188"/>
      <c r="ID14" s="193"/>
      <c r="IE14" s="188"/>
      <c r="IF14" s="13"/>
      <c r="IG14" s="188"/>
      <c r="IH14" s="193"/>
      <c r="II14" s="188"/>
      <c r="IJ14" s="188"/>
      <c r="IK14" s="188"/>
      <c r="IL14" s="193"/>
      <c r="IM14" s="188"/>
      <c r="IN14" s="188"/>
      <c r="IO14" s="188"/>
      <c r="IP14" s="193"/>
      <c r="IQ14" s="188"/>
      <c r="IR14" s="188"/>
      <c r="IS14" s="188"/>
      <c r="IT14" s="193"/>
      <c r="IU14" s="188"/>
      <c r="IV14" s="188"/>
      <c r="IW14" s="188"/>
      <c r="IX14" s="193"/>
      <c r="IY14" s="188"/>
      <c r="IZ14" s="188"/>
      <c r="JA14" s="188"/>
      <c r="JB14" s="193"/>
      <c r="JC14" s="188"/>
      <c r="JD14" s="188"/>
      <c r="JE14" s="188"/>
      <c r="JF14" s="193"/>
      <c r="JG14" s="188"/>
      <c r="JH14" s="188"/>
      <c r="JI14" s="188"/>
      <c r="JJ14" s="193"/>
      <c r="JK14" s="188"/>
      <c r="JL14" s="188"/>
      <c r="JM14" s="188"/>
      <c r="JN14" s="188"/>
      <c r="JO14" s="193"/>
      <c r="JP14" s="188"/>
      <c r="JQ14" s="188"/>
      <c r="JR14" s="188"/>
      <c r="JS14" s="193"/>
      <c r="JT14" s="188"/>
      <c r="JU14" s="188"/>
      <c r="JV14" s="188"/>
      <c r="JW14" s="188"/>
      <c r="JX14" s="193"/>
      <c r="JY14" s="188"/>
      <c r="JZ14" s="188"/>
      <c r="KA14" s="188"/>
      <c r="KB14" s="188"/>
      <c r="KC14" s="193"/>
      <c r="KD14" s="188"/>
      <c r="KE14" s="188"/>
      <c r="KF14" s="188"/>
      <c r="KG14" s="188"/>
      <c r="KH14" s="193"/>
      <c r="KI14" s="188"/>
      <c r="KJ14" s="188"/>
      <c r="KK14" s="188"/>
      <c r="KL14" s="193"/>
      <c r="KM14" s="188"/>
      <c r="KN14" s="188"/>
      <c r="KO14" s="188"/>
      <c r="KP14" s="188"/>
      <c r="KQ14" s="188"/>
      <c r="KR14" s="188"/>
      <c r="KS14" s="188"/>
      <c r="KT14" s="188"/>
      <c r="KU14" s="188"/>
      <c r="KV14" s="188"/>
      <c r="KW14" s="188"/>
      <c r="KX14" s="193"/>
      <c r="KY14" s="188"/>
      <c r="KZ14" s="193"/>
      <c r="LA14" s="188"/>
      <c r="LB14" s="193"/>
      <c r="LC14" s="188"/>
      <c r="LD14" s="193"/>
      <c r="LE14" s="188"/>
      <c r="LF14" s="193"/>
      <c r="LG14" s="188"/>
      <c r="LH14" s="193"/>
      <c r="LI14" s="188"/>
      <c r="LJ14" s="193"/>
      <c r="LK14" s="188"/>
      <c r="LL14" s="193"/>
      <c r="LM14" s="188"/>
      <c r="LN14" s="193"/>
      <c r="LO14" s="188"/>
      <c r="LP14" s="193"/>
      <c r="LQ14" s="184"/>
      <c r="LR14" s="193"/>
      <c r="LS14" s="184"/>
      <c r="LT14" s="193"/>
      <c r="LU14" s="184"/>
      <c r="LV14" s="193"/>
      <c r="LW14" s="184"/>
      <c r="LX14" s="184"/>
      <c r="LY14" s="184"/>
      <c r="LZ14" s="156"/>
      <c r="MA14" s="184"/>
      <c r="MB14" s="156"/>
      <c r="MC14" s="184"/>
      <c r="MD14" s="156"/>
      <c r="ME14" s="184"/>
      <c r="MF14" s="156"/>
      <c r="MG14" s="184"/>
      <c r="MH14" s="156"/>
      <c r="MI14" s="184"/>
      <c r="MJ14" s="156"/>
      <c r="MK14" s="184"/>
      <c r="ML14" s="156"/>
      <c r="MM14" s="184"/>
      <c r="MN14" s="156"/>
      <c r="MO14" s="184"/>
      <c r="MP14" s="156"/>
      <c r="MQ14" s="184"/>
      <c r="MR14" s="156"/>
      <c r="MS14" s="156"/>
      <c r="MT14" s="156"/>
      <c r="MU14" s="156"/>
      <c r="MV14" s="156"/>
      <c r="MW14" s="156"/>
      <c r="MX14" s="156"/>
      <c r="MY14" s="156"/>
      <c r="MZ14" s="156"/>
      <c r="NA14" s="156"/>
      <c r="NB14" s="156"/>
      <c r="NC14" s="156"/>
      <c r="ND14" s="156"/>
      <c r="NE14" s="156"/>
      <c r="NF14" s="156"/>
      <c r="NG14" s="156"/>
      <c r="NH14" s="156"/>
      <c r="NI14" s="156"/>
      <c r="NJ14" s="156"/>
      <c r="NK14" s="156"/>
      <c r="NL14" s="156"/>
      <c r="NM14" s="156"/>
      <c r="NN14" s="156"/>
      <c r="NO14" s="156"/>
      <c r="NP14" s="156"/>
      <c r="NQ14" s="156"/>
      <c r="NR14" s="156"/>
      <c r="NS14" s="156"/>
      <c r="NT14" s="156"/>
      <c r="NU14" s="156"/>
      <c r="NV14" s="156"/>
      <c r="NW14" s="156"/>
      <c r="NX14" s="156"/>
      <c r="NY14" s="156"/>
      <c r="NZ14" s="156"/>
      <c r="OA14" s="156"/>
      <c r="OB14" s="156"/>
      <c r="OC14" s="156"/>
      <c r="OD14" s="156"/>
      <c r="OE14" s="156"/>
      <c r="OF14" s="156"/>
      <c r="OG14" s="156"/>
      <c r="OH14" s="156"/>
      <c r="OI14" s="156"/>
      <c r="OJ14" s="156"/>
      <c r="OK14" s="156"/>
      <c r="OL14" s="156"/>
      <c r="OM14" s="156"/>
      <c r="ON14" s="156"/>
      <c r="OO14" s="156"/>
      <c r="OP14" s="156"/>
      <c r="OQ14" s="156"/>
      <c r="OR14" s="156"/>
      <c r="OS14" s="156"/>
      <c r="OT14" s="156"/>
      <c r="OU14" s="156"/>
      <c r="OV14" s="156"/>
      <c r="OW14" s="156"/>
      <c r="OX14" s="156"/>
      <c r="OY14" s="156"/>
      <c r="OZ14" s="156"/>
      <c r="PA14" s="156"/>
      <c r="PB14" s="156"/>
      <c r="PC14" s="156"/>
      <c r="PD14" s="156"/>
      <c r="PE14" s="156"/>
      <c r="PF14" s="156"/>
      <c r="PG14" s="156"/>
      <c r="PH14" s="156"/>
      <c r="PI14" s="156"/>
      <c r="PJ14" s="156"/>
      <c r="PK14" s="156"/>
      <c r="PL14" s="156"/>
      <c r="PM14" s="156"/>
      <c r="PN14" s="156"/>
      <c r="PO14" s="156"/>
      <c r="PP14" s="156"/>
      <c r="PQ14" s="156"/>
    </row>
    <row r="15" spans="1:433">
      <c r="A15" s="7"/>
      <c r="B15" s="13"/>
      <c r="C15" s="13"/>
      <c r="D15" s="740"/>
      <c r="E15" s="735"/>
      <c r="F15" s="740"/>
      <c r="G15" s="13"/>
      <c r="H15" s="740"/>
      <c r="I15" s="13"/>
      <c r="J15" s="740"/>
      <c r="K15" s="13"/>
      <c r="L15" s="740"/>
      <c r="N15" s="741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B15" s="13"/>
      <c r="AC15" s="13"/>
      <c r="AD15" s="13"/>
      <c r="AF15" s="81"/>
      <c r="AH15" s="355"/>
      <c r="AI15" s="355"/>
      <c r="AJ15" s="81"/>
      <c r="AL15" s="355"/>
      <c r="AM15" s="355"/>
      <c r="AN15" s="81"/>
      <c r="AP15" s="355"/>
      <c r="AQ15" s="355"/>
      <c r="AR15" s="81"/>
      <c r="AT15" s="355"/>
      <c r="AU15" s="355"/>
      <c r="AV15" s="81"/>
      <c r="AX15" s="355"/>
      <c r="AY15" s="355"/>
      <c r="AZ15" s="81"/>
      <c r="BB15" s="355"/>
      <c r="BC15" s="355"/>
      <c r="BD15" s="81"/>
      <c r="BF15" s="81"/>
      <c r="BG15" s="355"/>
      <c r="BH15" s="81"/>
      <c r="BJ15" s="355"/>
      <c r="BK15" s="355"/>
      <c r="BL15" s="81"/>
      <c r="BN15" s="81"/>
      <c r="BP15" s="81"/>
      <c r="BR15" s="355"/>
      <c r="BT15" s="81"/>
      <c r="BV15" s="355"/>
      <c r="BW15" s="355"/>
      <c r="BX15" s="81"/>
      <c r="BZ15" s="355"/>
      <c r="CA15" s="355"/>
      <c r="CB15" s="81"/>
      <c r="CD15" s="355"/>
      <c r="CE15" s="355"/>
      <c r="CF15" s="81"/>
      <c r="CH15" s="355"/>
      <c r="CI15" s="355"/>
      <c r="CJ15" s="81"/>
      <c r="CL15" s="355"/>
      <c r="CM15" s="355"/>
      <c r="CN15" s="81"/>
      <c r="CP15" s="355"/>
      <c r="CQ15" s="355"/>
      <c r="CR15" s="81"/>
      <c r="CT15" s="355"/>
      <c r="CU15" s="355"/>
      <c r="CV15" s="81"/>
      <c r="CX15" s="355"/>
      <c r="CY15" s="355"/>
      <c r="CZ15" s="81"/>
      <c r="DB15" s="355"/>
      <c r="DC15" s="355"/>
      <c r="DD15" s="81"/>
      <c r="DF15" s="355"/>
      <c r="DG15" s="355"/>
      <c r="DH15" s="81"/>
      <c r="DJ15" s="355"/>
      <c r="DK15" s="355"/>
      <c r="DL15" s="81"/>
      <c r="DN15" s="355"/>
      <c r="DO15" s="355"/>
      <c r="DP15" s="81"/>
      <c r="DR15" s="355"/>
      <c r="DS15" s="355"/>
      <c r="DT15" s="81"/>
      <c r="DV15" s="355"/>
      <c r="DW15" s="355"/>
      <c r="DX15" s="81"/>
      <c r="DZ15" s="355"/>
      <c r="EA15" s="355"/>
      <c r="EB15" s="81"/>
      <c r="ED15" s="355"/>
      <c r="EE15" s="355"/>
      <c r="EF15" s="81"/>
      <c r="EH15" s="355"/>
      <c r="EI15" s="355"/>
      <c r="EJ15" s="81"/>
      <c r="EL15" s="355"/>
      <c r="EM15" s="355"/>
      <c r="EN15" s="81"/>
      <c r="EP15" s="355"/>
      <c r="EQ15" s="355"/>
      <c r="ER15" s="81"/>
      <c r="ET15" s="355"/>
      <c r="EU15" s="355"/>
      <c r="EV15" s="81"/>
      <c r="EX15" s="355"/>
      <c r="EY15" s="355"/>
      <c r="EZ15" s="81"/>
      <c r="FB15" s="355"/>
      <c r="FC15" s="355"/>
      <c r="FD15" s="81"/>
      <c r="FF15" s="355"/>
      <c r="FG15" s="13"/>
      <c r="FH15" s="81"/>
      <c r="FJ15" s="355"/>
      <c r="FK15" s="355"/>
      <c r="FL15" s="81"/>
      <c r="FN15" s="355"/>
      <c r="FO15" s="13"/>
      <c r="FP15" s="81"/>
      <c r="FR15" s="355"/>
      <c r="FS15" s="355"/>
      <c r="FT15" s="81"/>
      <c r="FV15" s="355"/>
      <c r="FW15" s="355"/>
      <c r="FX15" s="81"/>
      <c r="FZ15" s="355"/>
      <c r="GA15" s="355"/>
      <c r="GB15" s="355"/>
      <c r="GD15" s="355"/>
      <c r="GE15" s="355"/>
      <c r="GF15" s="355"/>
      <c r="GH15" s="379"/>
      <c r="GI15" s="355"/>
      <c r="GJ15" s="355"/>
      <c r="GL15" s="355"/>
      <c r="GM15" s="355"/>
      <c r="GN15" s="355"/>
      <c r="GP15" s="355"/>
      <c r="GQ15" s="355"/>
      <c r="GR15" s="355"/>
      <c r="GS15" s="355"/>
      <c r="GU15" s="355"/>
      <c r="GV15" s="355"/>
      <c r="GW15" s="355"/>
      <c r="GY15" s="355"/>
      <c r="GZ15" s="355"/>
      <c r="HA15" s="355"/>
      <c r="HC15" s="355"/>
      <c r="HD15" s="355"/>
      <c r="HE15" s="355"/>
      <c r="HG15" s="355"/>
      <c r="HH15" s="355"/>
      <c r="HI15" s="355"/>
      <c r="HK15" s="355"/>
      <c r="HL15" s="355"/>
      <c r="HM15" s="355"/>
      <c r="HO15" s="355"/>
      <c r="HP15" s="355"/>
      <c r="HQ15" s="355"/>
      <c r="HS15" s="355"/>
      <c r="HT15" s="13"/>
      <c r="HU15" s="188"/>
      <c r="HW15" s="188"/>
      <c r="HX15" s="188"/>
      <c r="HY15" s="188"/>
      <c r="IA15" s="188"/>
      <c r="IB15" s="188"/>
      <c r="IC15" s="188"/>
      <c r="IE15" s="188"/>
      <c r="IF15" s="13"/>
      <c r="IG15" s="188"/>
      <c r="IH15" s="156"/>
      <c r="II15" s="188"/>
      <c r="IJ15" s="188"/>
      <c r="IK15" s="188"/>
      <c r="IL15" s="156"/>
      <c r="IM15" s="188"/>
      <c r="IN15" s="188"/>
      <c r="IO15" s="188"/>
      <c r="IP15" s="156"/>
      <c r="IQ15" s="188"/>
      <c r="IR15" s="188"/>
      <c r="IS15" s="188"/>
      <c r="IT15" s="156"/>
      <c r="IU15" s="188"/>
      <c r="IV15" s="188"/>
      <c r="IW15" s="188"/>
      <c r="IX15" s="156"/>
      <c r="IY15" s="188"/>
      <c r="IZ15" s="188"/>
      <c r="JA15" s="188"/>
      <c r="JB15" s="156"/>
      <c r="JC15" s="188"/>
      <c r="JD15" s="188"/>
      <c r="JE15" s="188"/>
      <c r="JF15" s="156"/>
      <c r="JG15" s="188"/>
      <c r="JH15" s="188"/>
      <c r="JI15" s="188"/>
      <c r="JJ15" s="156"/>
      <c r="JK15" s="188"/>
      <c r="JL15" s="188"/>
      <c r="JM15" s="188"/>
      <c r="JN15" s="188"/>
      <c r="JO15" s="156"/>
      <c r="JP15" s="188"/>
      <c r="JQ15" s="188"/>
      <c r="JR15" s="188"/>
      <c r="JS15" s="156"/>
      <c r="JT15" s="188"/>
      <c r="JU15" s="188"/>
      <c r="JV15" s="188"/>
      <c r="JW15" s="188"/>
      <c r="JX15" s="156"/>
      <c r="JY15" s="188"/>
      <c r="JZ15" s="188"/>
      <c r="KA15" s="188"/>
      <c r="KB15" s="188"/>
      <c r="KC15" s="156"/>
      <c r="KD15" s="188"/>
      <c r="KE15" s="188"/>
      <c r="KF15" s="188"/>
      <c r="KG15" s="188"/>
      <c r="KH15" s="156"/>
      <c r="KI15" s="188"/>
      <c r="KJ15" s="188"/>
      <c r="KK15" s="188"/>
      <c r="KL15" s="156"/>
      <c r="KM15" s="188"/>
      <c r="KN15" s="188"/>
      <c r="KO15" s="188"/>
      <c r="KP15" s="188"/>
      <c r="KQ15" s="188"/>
      <c r="KR15" s="188"/>
      <c r="KS15" s="188"/>
      <c r="KT15" s="188"/>
      <c r="KU15" s="188"/>
      <c r="KV15" s="188"/>
      <c r="KW15" s="188"/>
      <c r="KX15" s="156"/>
      <c r="KY15" s="188"/>
      <c r="KZ15" s="156"/>
      <c r="LA15" s="188"/>
      <c r="LB15" s="156"/>
      <c r="LC15" s="188"/>
      <c r="LD15" s="156"/>
      <c r="LE15" s="188"/>
      <c r="LF15" s="156"/>
      <c r="LG15" s="188"/>
      <c r="LH15" s="156"/>
      <c r="LI15" s="188"/>
      <c r="LJ15" s="156"/>
      <c r="LK15" s="188"/>
      <c r="LL15" s="156"/>
      <c r="LM15" s="188"/>
      <c r="LN15" s="156"/>
      <c r="LO15" s="188"/>
      <c r="LP15" s="156"/>
      <c r="LQ15" s="193"/>
      <c r="LR15" s="156"/>
      <c r="LS15" s="193"/>
      <c r="LT15" s="156"/>
      <c r="LU15" s="193"/>
      <c r="LV15" s="156"/>
      <c r="LW15" s="193"/>
      <c r="LX15" s="193"/>
      <c r="LY15" s="193"/>
      <c r="LZ15" s="156"/>
      <c r="MA15" s="193"/>
      <c r="MB15" s="156"/>
      <c r="MC15" s="193"/>
      <c r="MD15" s="156"/>
      <c r="ME15" s="193"/>
      <c r="MF15" s="156"/>
      <c r="MG15" s="193"/>
      <c r="MH15" s="156"/>
      <c r="MI15" s="193"/>
      <c r="MJ15" s="156"/>
      <c r="MK15" s="193"/>
      <c r="ML15" s="156"/>
      <c r="MM15" s="193"/>
      <c r="MN15" s="156"/>
      <c r="MO15" s="193"/>
      <c r="MP15" s="156"/>
      <c r="MQ15" s="193"/>
      <c r="MR15" s="156"/>
      <c r="MS15" s="156"/>
      <c r="MT15" s="156"/>
      <c r="MU15" s="156"/>
      <c r="MV15" s="156"/>
      <c r="MW15" s="156"/>
      <c r="MX15" s="156"/>
      <c r="MY15" s="156"/>
      <c r="MZ15" s="156"/>
      <c r="NA15" s="156"/>
      <c r="NB15" s="156"/>
      <c r="NC15" s="156"/>
      <c r="ND15" s="156"/>
      <c r="NE15" s="156"/>
      <c r="NF15" s="156"/>
      <c r="NG15" s="156"/>
      <c r="NH15" s="156"/>
      <c r="NI15" s="156"/>
      <c r="NJ15" s="156"/>
      <c r="NK15" s="156"/>
      <c r="NL15" s="156"/>
      <c r="NM15" s="156"/>
      <c r="NN15" s="156"/>
      <c r="NO15" s="156"/>
      <c r="NP15" s="156"/>
      <c r="NQ15" s="156"/>
      <c r="NR15" s="156"/>
      <c r="NS15" s="156"/>
      <c r="NT15" s="156"/>
      <c r="NU15" s="156"/>
      <c r="NV15" s="156"/>
      <c r="NW15" s="156"/>
      <c r="NX15" s="156"/>
      <c r="NY15" s="156"/>
      <c r="NZ15" s="156"/>
      <c r="OA15" s="156"/>
      <c r="OB15" s="156"/>
      <c r="OC15" s="156"/>
      <c r="OD15" s="156"/>
      <c r="OE15" s="156"/>
      <c r="OF15" s="156"/>
      <c r="OG15" s="156"/>
      <c r="OH15" s="156"/>
      <c r="OI15" s="156"/>
      <c r="OJ15" s="156"/>
      <c r="OK15" s="156"/>
      <c r="OL15" s="156"/>
      <c r="OM15" s="156"/>
      <c r="ON15" s="156"/>
      <c r="OO15" s="156"/>
      <c r="OP15" s="156"/>
      <c r="OQ15" s="156"/>
      <c r="OR15" s="156"/>
      <c r="OS15" s="156"/>
      <c r="OT15" s="156"/>
      <c r="OU15" s="156"/>
      <c r="OV15" s="156"/>
      <c r="OW15" s="156"/>
      <c r="OX15" s="156"/>
      <c r="OY15" s="156"/>
      <c r="OZ15" s="156"/>
      <c r="PA15" s="156"/>
      <c r="PB15" s="156"/>
      <c r="PC15" s="156"/>
      <c r="PD15" s="156"/>
      <c r="PE15" s="156"/>
      <c r="PF15" s="156"/>
      <c r="PG15" s="156"/>
      <c r="PH15" s="156"/>
      <c r="PI15" s="156"/>
      <c r="PJ15" s="156"/>
      <c r="PK15" s="156"/>
      <c r="PL15" s="156"/>
      <c r="PM15" s="156"/>
      <c r="PN15" s="156"/>
      <c r="PO15" s="156"/>
      <c r="PP15" s="156"/>
      <c r="PQ15" s="156"/>
    </row>
    <row r="16" spans="1:433">
      <c r="A16" s="7"/>
      <c r="B16" s="13"/>
      <c r="C16" s="13"/>
      <c r="D16" s="740"/>
      <c r="E16" s="735"/>
      <c r="F16" s="740"/>
      <c r="G16" s="13"/>
      <c r="H16" s="740"/>
      <c r="I16" s="13"/>
      <c r="J16" s="740"/>
      <c r="K16" s="13"/>
      <c r="L16" s="740"/>
      <c r="N16" s="741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B16" s="13"/>
      <c r="AC16" s="13"/>
      <c r="AD16" s="13"/>
      <c r="AF16" s="81"/>
      <c r="AH16" s="355"/>
      <c r="AI16" s="355"/>
      <c r="AJ16" s="81"/>
      <c r="AL16" s="355"/>
      <c r="AM16" s="355"/>
      <c r="AN16" s="81"/>
      <c r="AP16" s="355"/>
      <c r="AQ16" s="355"/>
      <c r="AR16" s="81"/>
      <c r="AT16" s="355"/>
      <c r="AU16" s="355"/>
      <c r="AV16" s="81"/>
      <c r="AX16" s="355"/>
      <c r="AY16" s="355"/>
      <c r="AZ16" s="81"/>
      <c r="BB16" s="355"/>
      <c r="BC16" s="355"/>
      <c r="BD16" s="81"/>
      <c r="BF16" s="81"/>
      <c r="BG16" s="355"/>
      <c r="BH16" s="81"/>
      <c r="BJ16" s="355"/>
      <c r="BK16" s="355"/>
      <c r="BL16" s="81"/>
      <c r="BN16" s="81"/>
      <c r="BP16" s="81"/>
      <c r="BR16" s="355"/>
      <c r="BT16" s="81"/>
      <c r="BV16" s="355"/>
      <c r="BW16" s="355"/>
      <c r="BX16" s="81"/>
      <c r="BZ16" s="355"/>
      <c r="CA16" s="355"/>
      <c r="CB16" s="81"/>
      <c r="CD16" s="355"/>
      <c r="CE16" s="355"/>
      <c r="CF16" s="81"/>
      <c r="CH16" s="355"/>
      <c r="CI16" s="355"/>
      <c r="CJ16" s="81"/>
      <c r="CL16" s="355"/>
      <c r="CM16" s="355"/>
      <c r="CN16" s="81"/>
      <c r="CP16" s="355"/>
      <c r="CQ16" s="355"/>
      <c r="CR16" s="81"/>
      <c r="CT16" s="355"/>
      <c r="CU16" s="355"/>
      <c r="CV16" s="81"/>
      <c r="CX16" s="355"/>
      <c r="CY16" s="355"/>
      <c r="CZ16" s="81"/>
      <c r="DB16" s="355"/>
      <c r="DC16" s="355"/>
      <c r="DD16" s="81"/>
      <c r="DF16" s="355"/>
      <c r="DG16" s="355"/>
      <c r="DH16" s="81"/>
      <c r="DJ16" s="355"/>
      <c r="DK16" s="355"/>
      <c r="DL16" s="81"/>
      <c r="DN16" s="355"/>
      <c r="DO16" s="355"/>
      <c r="DP16" s="81"/>
      <c r="DR16" s="355"/>
      <c r="DS16" s="355"/>
      <c r="DT16" s="81"/>
      <c r="DV16" s="355"/>
      <c r="DW16" s="355"/>
      <c r="DX16" s="81"/>
      <c r="DZ16" s="355"/>
      <c r="EA16" s="355"/>
      <c r="EB16" s="81"/>
      <c r="ED16" s="355"/>
      <c r="EE16" s="355"/>
      <c r="EF16" s="81"/>
      <c r="EH16" s="355"/>
      <c r="EI16" s="355"/>
      <c r="EJ16" s="81"/>
      <c r="EL16" s="355"/>
      <c r="EM16" s="355"/>
      <c r="EN16" s="81"/>
      <c r="EP16" s="355"/>
      <c r="EQ16" s="355"/>
      <c r="ER16" s="81"/>
      <c r="ET16" s="355"/>
      <c r="EU16" s="355"/>
      <c r="EV16" s="81"/>
      <c r="EX16" s="355"/>
      <c r="EY16" s="355"/>
      <c r="EZ16" s="81"/>
      <c r="FB16" s="355"/>
      <c r="FC16" s="355"/>
      <c r="FD16" s="81"/>
      <c r="FF16" s="355"/>
      <c r="FG16" s="13"/>
      <c r="FH16" s="81"/>
      <c r="FJ16" s="355"/>
      <c r="FK16" s="355"/>
      <c r="FL16" s="81"/>
      <c r="FN16" s="355"/>
      <c r="FO16" s="13"/>
      <c r="FP16" s="81"/>
      <c r="FR16" s="355"/>
      <c r="FS16" s="355"/>
      <c r="FT16" s="81"/>
      <c r="FV16" s="355"/>
      <c r="FW16" s="355"/>
      <c r="FX16" s="81"/>
      <c r="FZ16" s="355"/>
      <c r="GA16" s="355"/>
      <c r="GB16" s="355"/>
      <c r="GD16" s="355"/>
      <c r="GE16" s="355"/>
      <c r="GF16" s="355"/>
      <c r="GH16" s="379"/>
      <c r="GI16" s="355"/>
      <c r="GJ16" s="355"/>
      <c r="GL16" s="355"/>
      <c r="GM16" s="355"/>
      <c r="GN16" s="355"/>
      <c r="GP16" s="355"/>
      <c r="GQ16" s="355"/>
      <c r="GR16" s="355"/>
      <c r="GS16" s="355"/>
      <c r="GU16" s="355"/>
      <c r="GV16" s="355"/>
      <c r="GW16" s="355"/>
      <c r="GY16" s="355"/>
      <c r="GZ16" s="355"/>
      <c r="HA16" s="355"/>
      <c r="HC16" s="355"/>
      <c r="HD16" s="355"/>
      <c r="HE16" s="355"/>
      <c r="HG16" s="355"/>
      <c r="HH16" s="355"/>
      <c r="HI16" s="355"/>
      <c r="HK16" s="355"/>
      <c r="HL16" s="355"/>
      <c r="HM16" s="355"/>
      <c r="HO16" s="355"/>
      <c r="HP16" s="355"/>
      <c r="HQ16" s="355"/>
      <c r="HS16" s="355"/>
      <c r="HT16" s="13"/>
      <c r="HU16" s="188"/>
      <c r="HW16" s="188"/>
      <c r="HX16" s="188"/>
      <c r="HY16" s="188"/>
      <c r="IA16" s="188"/>
      <c r="IB16" s="188"/>
      <c r="IC16" s="188"/>
      <c r="IE16" s="188"/>
      <c r="IF16" s="13"/>
      <c r="IG16" s="188"/>
      <c r="IH16" s="156"/>
      <c r="II16" s="188"/>
      <c r="IJ16" s="188"/>
      <c r="IK16" s="188"/>
      <c r="IL16" s="156"/>
      <c r="IM16" s="188"/>
      <c r="IN16" s="188"/>
      <c r="IO16" s="188"/>
      <c r="IP16" s="156"/>
      <c r="IQ16" s="188"/>
      <c r="IR16" s="188"/>
      <c r="IS16" s="188"/>
      <c r="IT16" s="156"/>
      <c r="IU16" s="188"/>
      <c r="IV16" s="188"/>
      <c r="IW16" s="188"/>
      <c r="IX16" s="156"/>
      <c r="IY16" s="188"/>
      <c r="IZ16" s="188"/>
      <c r="JA16" s="188"/>
      <c r="JB16" s="156"/>
      <c r="JC16" s="188"/>
      <c r="JD16" s="188"/>
      <c r="JE16" s="188"/>
      <c r="JF16" s="156"/>
      <c r="JG16" s="188"/>
      <c r="JH16" s="188"/>
      <c r="JI16" s="188"/>
      <c r="JJ16" s="156"/>
      <c r="JK16" s="188"/>
      <c r="JL16" s="188"/>
      <c r="JM16" s="188"/>
      <c r="JN16" s="188"/>
      <c r="JO16" s="156"/>
      <c r="JP16" s="188"/>
      <c r="JQ16" s="188"/>
      <c r="JR16" s="188"/>
      <c r="JS16" s="156"/>
      <c r="JT16" s="188"/>
      <c r="JU16" s="188"/>
      <c r="JV16" s="188"/>
      <c r="JW16" s="188"/>
      <c r="JX16" s="156"/>
      <c r="JY16" s="188"/>
      <c r="JZ16" s="188"/>
      <c r="KA16" s="188"/>
      <c r="KB16" s="188"/>
      <c r="KC16" s="156"/>
      <c r="KD16" s="188"/>
      <c r="KE16" s="188"/>
      <c r="KF16" s="188"/>
      <c r="KG16" s="188"/>
      <c r="KH16" s="156"/>
      <c r="KI16" s="188"/>
      <c r="KJ16" s="188"/>
      <c r="KK16" s="188"/>
      <c r="KL16" s="156"/>
      <c r="KM16" s="188"/>
      <c r="KN16" s="188"/>
      <c r="KO16" s="188"/>
      <c r="KP16" s="188"/>
      <c r="KQ16" s="188"/>
      <c r="KR16" s="188"/>
      <c r="KS16" s="188"/>
      <c r="KT16" s="188"/>
      <c r="KU16" s="188"/>
      <c r="KV16" s="188"/>
      <c r="KW16" s="188"/>
      <c r="KX16" s="156"/>
      <c r="KY16" s="188"/>
      <c r="KZ16" s="156"/>
      <c r="LA16" s="188"/>
      <c r="LB16" s="156"/>
      <c r="LC16" s="188"/>
      <c r="LD16" s="156"/>
      <c r="LE16" s="188"/>
      <c r="LF16" s="156"/>
      <c r="LG16" s="188"/>
      <c r="LH16" s="156"/>
      <c r="LI16" s="188"/>
      <c r="LJ16" s="156"/>
      <c r="LK16" s="188"/>
      <c r="LL16" s="156"/>
      <c r="LM16" s="188"/>
      <c r="LN16" s="156"/>
      <c r="LO16" s="188"/>
      <c r="LP16" s="156"/>
      <c r="LQ16" s="156"/>
      <c r="LR16" s="156"/>
      <c r="LS16" s="156"/>
      <c r="LT16" s="156"/>
      <c r="LU16" s="156"/>
      <c r="LV16" s="156"/>
      <c r="LW16" s="156"/>
      <c r="LX16" s="156"/>
      <c r="LY16" s="156"/>
      <c r="LZ16" s="156"/>
      <c r="MA16" s="156"/>
      <c r="MB16" s="156"/>
      <c r="MC16" s="156"/>
      <c r="MD16" s="156"/>
      <c r="ME16" s="156"/>
      <c r="MF16" s="156"/>
      <c r="MG16" s="162"/>
      <c r="MH16" s="156"/>
      <c r="MI16" s="156"/>
      <c r="MJ16" s="156"/>
      <c r="MK16" s="162"/>
      <c r="ML16" s="156"/>
      <c r="MM16" s="156"/>
      <c r="MN16" s="156"/>
      <c r="MO16" s="162"/>
      <c r="MP16" s="156"/>
      <c r="MQ16" s="156"/>
      <c r="MR16" s="156"/>
      <c r="MS16" s="156"/>
      <c r="MT16" s="156"/>
      <c r="MU16" s="156"/>
      <c r="MV16" s="156"/>
      <c r="MW16" s="156"/>
      <c r="MX16" s="156"/>
      <c r="MY16" s="156"/>
      <c r="MZ16" s="156"/>
      <c r="NA16" s="156"/>
      <c r="NB16" s="156"/>
      <c r="NC16" s="156"/>
      <c r="ND16" s="156"/>
      <c r="NE16" s="156"/>
      <c r="NF16" s="156"/>
      <c r="NG16" s="156"/>
      <c r="NH16" s="156"/>
      <c r="NI16" s="156"/>
      <c r="NJ16" s="156"/>
      <c r="NK16" s="156"/>
      <c r="NL16" s="156"/>
      <c r="NM16" s="156"/>
      <c r="NN16" s="156"/>
      <c r="NO16" s="156"/>
      <c r="NP16" s="156"/>
      <c r="NQ16" s="156"/>
      <c r="NR16" s="156"/>
      <c r="NS16" s="156"/>
      <c r="NT16" s="156"/>
      <c r="NU16" s="156"/>
      <c r="NV16" s="156"/>
      <c r="NW16" s="156"/>
      <c r="NX16" s="156"/>
      <c r="NY16" s="156"/>
      <c r="NZ16" s="156"/>
      <c r="OA16" s="156"/>
      <c r="OB16" s="156"/>
      <c r="OC16" s="156"/>
      <c r="OD16" s="156"/>
      <c r="OE16" s="156"/>
      <c r="OF16" s="156"/>
      <c r="OG16" s="156"/>
      <c r="OH16" s="156"/>
      <c r="OI16" s="156"/>
      <c r="OJ16" s="156"/>
      <c r="OK16" s="156"/>
      <c r="OL16" s="156"/>
      <c r="OM16" s="156"/>
      <c r="ON16" s="156"/>
      <c r="OO16" s="156"/>
      <c r="OP16" s="156"/>
      <c r="OQ16" s="156"/>
      <c r="OR16" s="156"/>
      <c r="OS16" s="156"/>
      <c r="OT16" s="156"/>
      <c r="OU16" s="156"/>
      <c r="OV16" s="156"/>
      <c r="OW16" s="156"/>
      <c r="OX16" s="156"/>
      <c r="OY16" s="156"/>
      <c r="OZ16" s="156"/>
      <c r="PA16" s="156"/>
      <c r="PB16" s="156"/>
      <c r="PC16" s="156"/>
      <c r="PD16" s="156"/>
      <c r="PE16" s="156"/>
      <c r="PF16" s="156"/>
      <c r="PG16" s="156"/>
      <c r="PH16" s="156"/>
      <c r="PI16" s="156"/>
      <c r="PJ16" s="156"/>
      <c r="PK16" s="156"/>
      <c r="PL16" s="156"/>
      <c r="PM16" s="156"/>
      <c r="PN16" s="156"/>
      <c r="PO16" s="156"/>
      <c r="PP16" s="156"/>
      <c r="PQ16" s="156"/>
    </row>
    <row r="17" spans="1:433">
      <c r="D17" s="71"/>
      <c r="F17" s="71"/>
      <c r="H17" s="71"/>
      <c r="J17" s="71"/>
      <c r="M17" s="746"/>
      <c r="AA17" s="178"/>
      <c r="AE17" s="178"/>
      <c r="AG17" s="178"/>
      <c r="AK17" s="178"/>
      <c r="AO17" s="178"/>
      <c r="AS17" s="178"/>
      <c r="AW17" s="178"/>
      <c r="BA17" s="178"/>
      <c r="BE17" s="178"/>
      <c r="BI17" s="178"/>
      <c r="BM17" s="178"/>
      <c r="BO17" s="178"/>
      <c r="BQ17" s="178"/>
      <c r="BS17" s="178"/>
      <c r="BU17" s="178"/>
      <c r="BY17" s="178"/>
      <c r="CC17" s="178"/>
      <c r="CG17" s="178"/>
      <c r="CK17" s="178"/>
      <c r="CO17" s="178"/>
      <c r="CS17" s="178"/>
      <c r="CW17" s="178"/>
      <c r="DA17" s="178"/>
      <c r="DE17" s="178"/>
      <c r="DI17" s="178"/>
      <c r="DM17" s="178"/>
      <c r="DQ17" s="178"/>
      <c r="DU17" s="178"/>
      <c r="DY17" s="178"/>
      <c r="EC17" s="178"/>
      <c r="EG17" s="178"/>
      <c r="EK17" s="178"/>
      <c r="EO17" s="178"/>
      <c r="ES17" s="178"/>
      <c r="EW17" s="178"/>
      <c r="FA17" s="178"/>
      <c r="FE17" s="178"/>
      <c r="FI17" s="178"/>
      <c r="FM17" s="178"/>
      <c r="FQ17" s="178"/>
      <c r="FU17" s="178"/>
      <c r="FY17" s="178"/>
      <c r="GC17" s="370"/>
      <c r="GG17" s="370"/>
      <c r="GH17" s="366"/>
      <c r="GK17" s="370"/>
      <c r="GO17" s="370"/>
      <c r="GT17" s="370"/>
      <c r="GX17" s="370"/>
      <c r="HB17" s="370"/>
      <c r="HF17" s="370"/>
      <c r="HJ17" s="370"/>
      <c r="HN17" s="370"/>
      <c r="HR17" s="370"/>
      <c r="HV17" s="178"/>
      <c r="HZ17" s="178"/>
      <c r="ID17" s="178"/>
      <c r="IG17" s="156"/>
      <c r="IH17" s="178"/>
      <c r="II17" s="156"/>
      <c r="IJ17" s="156"/>
      <c r="IK17" s="156"/>
      <c r="IL17" s="178"/>
      <c r="IM17" s="156"/>
      <c r="IN17" s="156"/>
      <c r="IO17" s="156"/>
      <c r="IP17" s="178"/>
      <c r="IQ17" s="156"/>
      <c r="IR17" s="156"/>
      <c r="IS17" s="156"/>
      <c r="IT17" s="178"/>
      <c r="IU17" s="156"/>
      <c r="IV17" s="156"/>
      <c r="IW17" s="156"/>
      <c r="IX17" s="178"/>
      <c r="IY17" s="156"/>
      <c r="IZ17" s="156"/>
      <c r="JA17" s="156"/>
      <c r="JB17" s="178"/>
      <c r="JC17" s="156"/>
      <c r="JD17" s="156"/>
      <c r="JE17" s="156"/>
      <c r="JF17" s="178"/>
      <c r="JG17" s="156"/>
      <c r="JH17" s="156"/>
      <c r="JI17" s="156"/>
      <c r="JJ17" s="178"/>
      <c r="JK17" s="156"/>
      <c r="JL17" s="156"/>
      <c r="JM17" s="156"/>
      <c r="JN17" s="156"/>
      <c r="JO17" s="178"/>
      <c r="JP17" s="156"/>
      <c r="JQ17" s="156"/>
      <c r="JR17" s="156"/>
      <c r="JS17" s="178"/>
      <c r="JT17" s="156"/>
      <c r="JU17" s="156"/>
      <c r="JV17" s="156"/>
      <c r="JW17" s="156"/>
      <c r="JX17" s="178"/>
      <c r="JY17" s="156"/>
      <c r="JZ17" s="156"/>
      <c r="KA17" s="156"/>
      <c r="KB17" s="156"/>
      <c r="KC17" s="178"/>
      <c r="KD17" s="156"/>
      <c r="KE17" s="156"/>
      <c r="KF17" s="156"/>
      <c r="KG17" s="156"/>
      <c r="KH17" s="178"/>
      <c r="KI17" s="156"/>
      <c r="KJ17" s="156"/>
      <c r="KK17" s="156"/>
      <c r="KL17" s="178"/>
      <c r="KM17" s="156"/>
      <c r="KN17" s="156"/>
      <c r="KO17" s="156"/>
      <c r="KP17" s="156"/>
      <c r="KQ17" s="156"/>
      <c r="KR17" s="156"/>
      <c r="KS17" s="156"/>
      <c r="KT17" s="156"/>
      <c r="KU17" s="156"/>
      <c r="KV17" s="156"/>
      <c r="KW17" s="156"/>
      <c r="KX17" s="178"/>
      <c r="KY17" s="156"/>
      <c r="KZ17" s="178"/>
      <c r="LA17" s="156"/>
      <c r="LB17" s="178"/>
      <c r="LC17" s="156"/>
      <c r="LD17" s="178"/>
      <c r="LE17" s="156"/>
      <c r="LF17" s="178"/>
      <c r="LG17" s="156"/>
      <c r="LH17" s="178"/>
      <c r="LI17" s="156"/>
      <c r="LJ17" s="178"/>
      <c r="LK17" s="156"/>
      <c r="LL17" s="178"/>
      <c r="LM17" s="156"/>
      <c r="LN17" s="178"/>
      <c r="LO17" s="156"/>
      <c r="LP17" s="178"/>
      <c r="LQ17" s="156"/>
      <c r="LR17" s="178"/>
      <c r="LS17" s="156"/>
      <c r="LT17" s="178"/>
      <c r="LU17" s="156"/>
      <c r="LV17" s="178"/>
      <c r="LW17" s="156"/>
      <c r="LX17" s="156"/>
      <c r="LY17" s="156"/>
      <c r="LZ17" s="156"/>
      <c r="MA17" s="156"/>
      <c r="MB17" s="156"/>
      <c r="MC17" s="156"/>
      <c r="MD17" s="156"/>
      <c r="ME17" s="156"/>
      <c r="MF17" s="156"/>
      <c r="MG17" s="156"/>
      <c r="MH17" s="156"/>
      <c r="MI17" s="156"/>
      <c r="MJ17" s="156"/>
      <c r="MK17" s="156"/>
      <c r="ML17" s="156"/>
      <c r="MM17" s="156"/>
      <c r="MN17" s="156"/>
      <c r="MO17" s="156"/>
      <c r="MP17" s="156"/>
      <c r="MQ17" s="156"/>
      <c r="MR17" s="156"/>
      <c r="MS17" s="156"/>
      <c r="MT17" s="156"/>
      <c r="MU17" s="156"/>
      <c r="MV17" s="156"/>
      <c r="MW17" s="156"/>
      <c r="MX17" s="156"/>
      <c r="MY17" s="156"/>
      <c r="MZ17" s="156"/>
      <c r="NA17" s="156"/>
      <c r="NB17" s="156"/>
      <c r="NC17" s="156"/>
      <c r="ND17" s="156"/>
      <c r="NE17" s="156"/>
      <c r="NF17" s="156"/>
      <c r="NG17" s="156"/>
      <c r="NH17" s="156"/>
      <c r="NI17" s="156"/>
      <c r="NJ17" s="156"/>
      <c r="NK17" s="156"/>
      <c r="NL17" s="156"/>
      <c r="NM17" s="156"/>
      <c r="NN17" s="156"/>
      <c r="NO17" s="156"/>
      <c r="NP17" s="156"/>
      <c r="NQ17" s="156"/>
      <c r="NR17" s="156"/>
      <c r="NS17" s="156"/>
      <c r="NT17" s="156"/>
      <c r="NU17" s="156"/>
      <c r="NV17" s="156"/>
      <c r="NW17" s="156"/>
      <c r="NX17" s="156"/>
      <c r="NY17" s="156"/>
      <c r="NZ17" s="156"/>
      <c r="OA17" s="156"/>
      <c r="OB17" s="156"/>
      <c r="OC17" s="156"/>
      <c r="OD17" s="156"/>
      <c r="OE17" s="156"/>
      <c r="OF17" s="156"/>
      <c r="OG17" s="156"/>
      <c r="OH17" s="156"/>
      <c r="OI17" s="156"/>
      <c r="OJ17" s="156"/>
      <c r="OK17" s="156"/>
      <c r="OL17" s="156"/>
      <c r="OM17" s="156"/>
      <c r="ON17" s="156"/>
      <c r="OO17" s="156"/>
      <c r="OP17" s="156"/>
      <c r="OQ17" s="156"/>
      <c r="OR17" s="156"/>
      <c r="OS17" s="156"/>
      <c r="OT17" s="156"/>
      <c r="OU17" s="156"/>
      <c r="OV17" s="156"/>
      <c r="OW17" s="156"/>
      <c r="OX17" s="156"/>
      <c r="OY17" s="156"/>
      <c r="OZ17" s="156"/>
      <c r="PA17" s="156"/>
      <c r="PB17" s="156"/>
      <c r="PC17" s="156"/>
      <c r="PD17" s="156"/>
      <c r="PE17" s="156"/>
      <c r="PF17" s="156"/>
      <c r="PG17" s="156"/>
      <c r="PH17" s="156"/>
      <c r="PI17" s="156"/>
      <c r="PJ17" s="156"/>
      <c r="PK17" s="156"/>
      <c r="PL17" s="156"/>
      <c r="PM17" s="156"/>
      <c r="PN17" s="156"/>
      <c r="PO17" s="156"/>
      <c r="PP17" s="156"/>
      <c r="PQ17" s="156"/>
    </row>
    <row r="18" spans="1:433" ht="35.25" customHeight="1">
      <c r="A18" s="8"/>
      <c r="B18" s="8" t="s">
        <v>946</v>
      </c>
      <c r="C18" s="4"/>
      <c r="D18" s="729" t="str">
        <f>D2</f>
        <v>H1 2026</v>
      </c>
      <c r="E18" s="754"/>
      <c r="F18" s="729" t="str">
        <f>F2</f>
        <v>H1 2025</v>
      </c>
      <c r="G18" s="4"/>
      <c r="H18" s="729" t="str">
        <f>H2</f>
        <v>Q2 2026</v>
      </c>
      <c r="I18" s="754"/>
      <c r="J18" s="729" t="str">
        <f>J2</f>
        <v>Q2 2025</v>
      </c>
      <c r="K18" s="754"/>
      <c r="L18" s="729" t="str">
        <f>L2</f>
        <v>Q1 2026</v>
      </c>
      <c r="N18" s="730" t="str">
        <f>N2</f>
        <v>Q1 2025</v>
      </c>
      <c r="O18" s="4"/>
      <c r="P18" s="729" t="s">
        <v>984</v>
      </c>
      <c r="Q18" s="156"/>
      <c r="R18" s="683" t="s">
        <v>912</v>
      </c>
      <c r="S18" s="156"/>
      <c r="T18" s="682" t="s">
        <v>897</v>
      </c>
      <c r="U18" s="156"/>
      <c r="V18" s="683" t="s">
        <v>836</v>
      </c>
      <c r="W18" s="4"/>
      <c r="X18" s="345" t="s">
        <v>937</v>
      </c>
      <c r="Y18" s="156"/>
      <c r="Z18" s="361" t="s">
        <v>843</v>
      </c>
      <c r="AB18" s="345" t="s">
        <v>898</v>
      </c>
      <c r="AC18" s="156"/>
      <c r="AD18" s="361" t="s">
        <v>835</v>
      </c>
      <c r="AF18" s="345" t="str">
        <f>AF2</f>
        <v>H1 2025</v>
      </c>
      <c r="AH18" s="361" t="str">
        <f>AH2</f>
        <v>H1 2024</v>
      </c>
      <c r="AI18" s="371"/>
      <c r="AJ18" s="345" t="str">
        <f>AJ2</f>
        <v>Q2 2025</v>
      </c>
      <c r="AL18" s="361" t="str">
        <f>AL2</f>
        <v>Q2 2024</v>
      </c>
      <c r="AM18" s="371"/>
      <c r="AN18" s="345" t="str">
        <f>AN2</f>
        <v>Q1 2025</v>
      </c>
      <c r="AP18" s="361" t="str">
        <f>AP2</f>
        <v>Q1 2024</v>
      </c>
      <c r="AQ18" s="371"/>
      <c r="AR18" s="345" t="str">
        <f>AR2</f>
        <v>FY 2024</v>
      </c>
      <c r="AT18" s="361" t="str">
        <f>AT2</f>
        <v>FY 2023</v>
      </c>
      <c r="AU18" s="371"/>
      <c r="AV18" s="345" t="str">
        <f>AV2</f>
        <v>Q4 2024</v>
      </c>
      <c r="AX18" s="361" t="str">
        <f>AX2</f>
        <v>Q4 2023</v>
      </c>
      <c r="AY18" s="371"/>
      <c r="AZ18" s="345" t="str">
        <f>AZ2</f>
        <v>Q1-Q3 2024</v>
      </c>
      <c r="BB18" s="345" t="str">
        <f>BB2</f>
        <v>Q1-Q3 2023</v>
      </c>
      <c r="BC18" s="156"/>
      <c r="BD18" s="345" t="str">
        <f>BD2</f>
        <v>Q3 2024</v>
      </c>
      <c r="BF18" s="345" t="str">
        <f>BF2</f>
        <v>Q3 2023</v>
      </c>
      <c r="BG18" s="156"/>
      <c r="BH18" s="345" t="str">
        <f>BH2</f>
        <v>H1 2024</v>
      </c>
      <c r="BJ18" s="345" t="str">
        <f>BJ2</f>
        <v>H1 2023</v>
      </c>
      <c r="BK18" s="371"/>
      <c r="BL18" s="345" t="str">
        <f>BL2</f>
        <v>Q2 2024</v>
      </c>
      <c r="BN18" s="345" t="str">
        <f>BN2</f>
        <v>Q2 2023</v>
      </c>
      <c r="BP18" s="345" t="str">
        <f>BP2</f>
        <v>Q1 2024</v>
      </c>
      <c r="BR18" s="361" t="str">
        <f>BR2</f>
        <v>Q1 2023</v>
      </c>
      <c r="BT18" s="345" t="str">
        <f>BT2</f>
        <v>FY 2023</v>
      </c>
      <c r="BV18" s="361" t="str">
        <f>BV2</f>
        <v>FY 2022</v>
      </c>
      <c r="BW18" s="371"/>
      <c r="BX18" s="345" t="str">
        <f>BX2</f>
        <v>Q4 2023</v>
      </c>
      <c r="BZ18" s="361" t="str">
        <f>BZ2</f>
        <v>Q4 2022</v>
      </c>
      <c r="CA18" s="371"/>
      <c r="CB18" s="345" t="str">
        <f>CB2</f>
        <v>Q1-Q3 2023</v>
      </c>
      <c r="CD18" s="361" t="str">
        <f>CD2</f>
        <v>Q1-Q3 2022</v>
      </c>
      <c r="CE18" s="371"/>
      <c r="CF18" s="345" t="str">
        <f>CF2</f>
        <v>Q3 2023</v>
      </c>
      <c r="CH18" s="361" t="str">
        <f>CH2</f>
        <v>Q3 2022</v>
      </c>
      <c r="CI18" s="371"/>
      <c r="CJ18" s="345" t="str">
        <f>CJ2</f>
        <v>H1 2023</v>
      </c>
      <c r="CL18" s="361" t="str">
        <f>CL2</f>
        <v>H1 2022</v>
      </c>
      <c r="CM18" s="371"/>
      <c r="CN18" s="345" t="str">
        <f>CN2</f>
        <v>Q2 2023</v>
      </c>
      <c r="CP18" s="361" t="str">
        <f>CP2</f>
        <v>Q2 2022</v>
      </c>
      <c r="CQ18" s="371"/>
      <c r="CR18" s="345" t="s">
        <v>773</v>
      </c>
      <c r="CT18" s="361" t="s">
        <v>692</v>
      </c>
      <c r="CU18" s="371"/>
      <c r="CV18" s="345" t="s">
        <v>749</v>
      </c>
      <c r="CX18" s="361" t="s">
        <v>660</v>
      </c>
      <c r="CY18" s="371"/>
      <c r="CZ18" s="345" t="s">
        <v>704</v>
      </c>
      <c r="DB18" s="361" t="s">
        <v>623</v>
      </c>
      <c r="DC18" s="371"/>
      <c r="DD18" s="345" t="s">
        <v>720</v>
      </c>
      <c r="DF18" s="361" t="s">
        <v>646</v>
      </c>
      <c r="DG18" s="371"/>
      <c r="DH18" s="345" t="s">
        <v>703</v>
      </c>
      <c r="DJ18" s="361" t="s">
        <v>624</v>
      </c>
      <c r="DK18" s="371"/>
      <c r="DL18" s="345" t="s">
        <v>701</v>
      </c>
      <c r="DN18" s="361" t="s">
        <v>633</v>
      </c>
      <c r="DO18" s="371"/>
      <c r="DP18" s="345" t="s">
        <v>702</v>
      </c>
      <c r="DR18" s="361" t="s">
        <v>634</v>
      </c>
      <c r="DS18" s="371"/>
      <c r="DT18" s="345" t="s">
        <v>692</v>
      </c>
      <c r="DV18" s="361" t="s">
        <v>622</v>
      </c>
      <c r="DW18" s="371"/>
      <c r="DX18" s="345" t="str">
        <f>DX2</f>
        <v>FY 2021</v>
      </c>
      <c r="DZ18" s="361" t="str">
        <f>DZ2</f>
        <v>FY 2020</v>
      </c>
      <c r="EA18" s="371"/>
      <c r="EB18" s="345" t="s">
        <v>624</v>
      </c>
      <c r="ED18" s="361" t="s">
        <v>593</v>
      </c>
      <c r="EE18" s="371"/>
      <c r="EF18" s="345" t="s">
        <v>646</v>
      </c>
      <c r="EH18" s="361" t="s">
        <v>592</v>
      </c>
      <c r="EI18" s="371"/>
      <c r="EJ18" s="345" t="s">
        <v>624</v>
      </c>
      <c r="EL18" s="361" t="s">
        <v>593</v>
      </c>
      <c r="EM18" s="371"/>
      <c r="EN18" s="345" t="s">
        <v>633</v>
      </c>
      <c r="EP18" s="361" t="s">
        <v>582</v>
      </c>
      <c r="EQ18" s="371"/>
      <c r="ER18" s="345" t="s">
        <v>634</v>
      </c>
      <c r="ET18" s="361" t="s">
        <v>581</v>
      </c>
      <c r="EU18" s="371"/>
      <c r="EV18" s="345" t="str">
        <f>EV2</f>
        <v>Q1 2021</v>
      </c>
      <c r="EX18" s="345" t="str">
        <f>EX2</f>
        <v>Q1 2020</v>
      </c>
      <c r="EY18" s="371"/>
      <c r="EZ18" s="345" t="str">
        <f>EZ2</f>
        <v>FY 2020</v>
      </c>
      <c r="FB18" s="361" t="str">
        <f>FB2</f>
        <v>FY 2019</v>
      </c>
      <c r="FC18" s="371"/>
      <c r="FD18" s="345" t="s">
        <v>606</v>
      </c>
      <c r="FF18" s="361" t="s">
        <v>571</v>
      </c>
      <c r="FG18" s="8"/>
      <c r="FH18" s="345" t="str">
        <f>FH2</f>
        <v>Q1-Q3 2020</v>
      </c>
      <c r="FJ18" s="361" t="str">
        <f>FJ2</f>
        <v>Q1-Q3 2019</v>
      </c>
      <c r="FK18" s="371"/>
      <c r="FL18" s="345" t="s">
        <v>593</v>
      </c>
      <c r="FN18" s="361" t="s">
        <v>548</v>
      </c>
      <c r="FO18" s="8"/>
      <c r="FP18" s="345" t="s">
        <v>582</v>
      </c>
      <c r="FR18" s="361" t="s">
        <v>535</v>
      </c>
      <c r="FS18" s="371"/>
      <c r="FT18" s="345" t="s">
        <v>581</v>
      </c>
      <c r="FV18" s="361" t="s">
        <v>534</v>
      </c>
      <c r="FW18" s="371"/>
      <c r="FX18" s="345" t="s">
        <v>572</v>
      </c>
      <c r="FZ18" s="361" t="s">
        <v>525</v>
      </c>
      <c r="GA18" s="371"/>
      <c r="GB18" s="351">
        <v>2019</v>
      </c>
      <c r="GD18" s="351">
        <v>2018</v>
      </c>
      <c r="GE18" s="370"/>
      <c r="GF18" s="351" t="s">
        <v>562</v>
      </c>
      <c r="GH18" s="351" t="s">
        <v>563</v>
      </c>
      <c r="GI18" s="371"/>
      <c r="GJ18" s="361" t="s">
        <v>547</v>
      </c>
      <c r="GL18" s="361" t="s">
        <v>496</v>
      </c>
      <c r="GM18" s="370"/>
      <c r="GN18" s="361" t="s">
        <v>548</v>
      </c>
      <c r="GP18" s="361" t="s">
        <v>497</v>
      </c>
      <c r="GQ18" s="370"/>
      <c r="GR18" s="370"/>
      <c r="GS18" s="361" t="s">
        <v>535</v>
      </c>
      <c r="GU18" s="361" t="s">
        <v>434</v>
      </c>
      <c r="GV18" s="370"/>
      <c r="GW18" s="361" t="s">
        <v>534</v>
      </c>
      <c r="GY18" s="361" t="s">
        <v>435</v>
      </c>
      <c r="GZ18" s="370"/>
      <c r="HA18" s="361" t="s">
        <v>525</v>
      </c>
      <c r="HC18" s="361" t="s">
        <v>277</v>
      </c>
      <c r="HD18" s="370"/>
      <c r="HE18" s="361">
        <v>2018</v>
      </c>
      <c r="HG18" s="361">
        <v>2017</v>
      </c>
      <c r="HH18" s="370"/>
      <c r="HI18" s="361" t="s">
        <v>513</v>
      </c>
      <c r="HK18" s="361" t="s">
        <v>437</v>
      </c>
      <c r="HL18" s="370"/>
      <c r="HM18" s="361" t="s">
        <v>496</v>
      </c>
      <c r="HO18" s="361" t="s">
        <v>325</v>
      </c>
      <c r="HP18" s="370"/>
      <c r="HQ18" s="361" t="s">
        <v>497</v>
      </c>
      <c r="HS18" s="361" t="s">
        <v>281</v>
      </c>
      <c r="HT18" s="4"/>
      <c r="HU18" s="150" t="s">
        <v>434</v>
      </c>
      <c r="HW18" s="150" t="s">
        <v>296</v>
      </c>
      <c r="HX18" s="178"/>
      <c r="HY18" s="150" t="s">
        <v>435</v>
      </c>
      <c r="IA18" s="150" t="s">
        <v>283</v>
      </c>
      <c r="IB18" s="178"/>
      <c r="IC18" s="151" t="s">
        <v>277</v>
      </c>
      <c r="IE18" s="150" t="s">
        <v>278</v>
      </c>
      <c r="IF18" s="134"/>
      <c r="IG18" s="151">
        <v>2017</v>
      </c>
      <c r="IH18" s="156"/>
      <c r="II18" s="150">
        <v>2016</v>
      </c>
      <c r="IJ18" s="178"/>
      <c r="IK18" s="151" t="s">
        <v>279</v>
      </c>
      <c r="IL18" s="156"/>
      <c r="IM18" s="150" t="s">
        <v>280</v>
      </c>
      <c r="IN18" s="178"/>
      <c r="IO18" s="151" t="s">
        <v>281</v>
      </c>
      <c r="IP18" s="156"/>
      <c r="IQ18" s="150" t="s">
        <v>282</v>
      </c>
      <c r="IR18" s="178"/>
      <c r="IS18" s="151" t="s">
        <v>294</v>
      </c>
      <c r="IT18" s="156"/>
      <c r="IU18" s="150" t="s">
        <v>295</v>
      </c>
      <c r="IV18" s="178"/>
      <c r="IW18" s="151" t="s">
        <v>296</v>
      </c>
      <c r="IX18" s="156"/>
      <c r="IY18" s="150" t="s">
        <v>297</v>
      </c>
      <c r="IZ18" s="178"/>
      <c r="JA18" s="151" t="s">
        <v>283</v>
      </c>
      <c r="JB18" s="156"/>
      <c r="JC18" s="150" t="s">
        <v>284</v>
      </c>
      <c r="JD18" s="178"/>
      <c r="JE18" s="151" t="s">
        <v>278</v>
      </c>
      <c r="JF18" s="156"/>
      <c r="JG18" s="150" t="s">
        <v>298</v>
      </c>
      <c r="JH18" s="178"/>
      <c r="JI18" s="151">
        <v>2016</v>
      </c>
      <c r="JJ18" s="156"/>
      <c r="JK18" s="150">
        <v>2015</v>
      </c>
      <c r="JL18" s="178"/>
      <c r="JM18" s="178"/>
      <c r="JN18" s="151" t="s">
        <v>280</v>
      </c>
      <c r="JO18" s="184"/>
      <c r="JP18" s="150" t="s">
        <v>299</v>
      </c>
      <c r="JQ18" s="185"/>
      <c r="JR18" s="151" t="s">
        <v>300</v>
      </c>
      <c r="JS18" s="156"/>
      <c r="JT18" s="150" t="s">
        <v>301</v>
      </c>
      <c r="JU18" s="188"/>
      <c r="JV18" s="188"/>
      <c r="JW18" s="151" t="s">
        <v>302</v>
      </c>
      <c r="JX18" s="184"/>
      <c r="JY18" s="150" t="s">
        <v>303</v>
      </c>
      <c r="JZ18" s="188"/>
      <c r="KA18" s="188"/>
      <c r="KB18" s="151" t="s">
        <v>304</v>
      </c>
      <c r="KC18" s="184"/>
      <c r="KD18" s="150" t="s">
        <v>305</v>
      </c>
      <c r="KE18" s="188"/>
      <c r="KF18" s="188"/>
      <c r="KG18" s="151" t="s">
        <v>306</v>
      </c>
      <c r="KH18" s="184"/>
      <c r="KI18" s="150" t="s">
        <v>307</v>
      </c>
      <c r="KJ18" s="188"/>
      <c r="KK18" s="151" t="s">
        <v>308</v>
      </c>
      <c r="KL18" s="184"/>
      <c r="KM18" s="150" t="s">
        <v>309</v>
      </c>
      <c r="KN18" s="188"/>
      <c r="KO18" s="150">
        <v>2015</v>
      </c>
      <c r="KP18" s="178"/>
      <c r="KQ18" s="150">
        <v>2014</v>
      </c>
      <c r="KR18" s="178"/>
      <c r="KS18" s="150" t="s">
        <v>299</v>
      </c>
      <c r="KT18" s="184"/>
      <c r="KU18" s="150" t="s">
        <v>288</v>
      </c>
      <c r="KV18" s="178"/>
      <c r="KW18" s="150" t="s">
        <v>301</v>
      </c>
      <c r="KX18" s="156"/>
      <c r="KY18" s="150" t="s">
        <v>310</v>
      </c>
      <c r="KZ18" s="184"/>
      <c r="LA18" s="150" t="s">
        <v>311</v>
      </c>
      <c r="LB18" s="184"/>
      <c r="LC18" s="150" t="s">
        <v>312</v>
      </c>
      <c r="LD18" s="184"/>
      <c r="LE18" s="150" t="s">
        <v>313</v>
      </c>
      <c r="LF18" s="184"/>
      <c r="LG18" s="150" t="s">
        <v>286</v>
      </c>
      <c r="LH18" s="184"/>
      <c r="LI18" s="150" t="s">
        <v>314</v>
      </c>
      <c r="LJ18" s="184"/>
      <c r="LK18" s="150" t="s">
        <v>292</v>
      </c>
      <c r="LL18" s="184"/>
      <c r="LM18" s="150" t="s">
        <v>315</v>
      </c>
      <c r="LN18" s="184"/>
      <c r="LO18" s="150" t="s">
        <v>316</v>
      </c>
      <c r="LP18" s="184"/>
      <c r="LQ18" s="202">
        <v>2014</v>
      </c>
      <c r="LR18" s="203"/>
      <c r="LS18" s="202">
        <v>2013</v>
      </c>
      <c r="LT18" s="203"/>
      <c r="LU18" s="150" t="s">
        <v>288</v>
      </c>
      <c r="LV18" s="203"/>
      <c r="LW18" s="150" t="s">
        <v>289</v>
      </c>
      <c r="LX18" s="178"/>
      <c r="LY18" s="150" t="s">
        <v>310</v>
      </c>
      <c r="LZ18" s="156"/>
      <c r="MA18" s="150" t="s">
        <v>317</v>
      </c>
      <c r="MB18" s="156"/>
      <c r="MC18" s="150" t="s">
        <v>312</v>
      </c>
      <c r="MD18" s="156"/>
      <c r="ME18" s="150" t="s">
        <v>291</v>
      </c>
      <c r="MF18" s="156"/>
      <c r="MG18" s="150" t="s">
        <v>286</v>
      </c>
      <c r="MH18" s="156"/>
      <c r="MI18" s="150" t="s">
        <v>287</v>
      </c>
      <c r="MJ18" s="156"/>
      <c r="MK18" s="150" t="s">
        <v>292</v>
      </c>
      <c r="ML18" s="156"/>
      <c r="MM18" s="202" t="s">
        <v>318</v>
      </c>
      <c r="MN18" s="156"/>
      <c r="MO18" s="150" t="s">
        <v>316</v>
      </c>
      <c r="MP18" s="156"/>
      <c r="MQ18" s="150" t="s">
        <v>319</v>
      </c>
      <c r="MR18" s="156"/>
      <c r="MS18" s="156"/>
      <c r="MT18" s="156"/>
      <c r="MU18" s="156"/>
      <c r="MV18" s="156"/>
      <c r="MW18" s="156"/>
      <c r="MX18" s="156"/>
      <c r="MY18" s="156"/>
      <c r="MZ18" s="156"/>
      <c r="NA18" s="156"/>
      <c r="NB18" s="156"/>
      <c r="NC18" s="156"/>
      <c r="ND18" s="156"/>
      <c r="NE18" s="156"/>
      <c r="NF18" s="156"/>
      <c r="NG18" s="156"/>
      <c r="NH18" s="156"/>
      <c r="NI18" s="156"/>
      <c r="NJ18" s="156"/>
      <c r="NK18" s="156"/>
      <c r="NL18" s="156"/>
      <c r="NM18" s="156"/>
      <c r="NN18" s="156"/>
      <c r="NO18" s="156"/>
      <c r="NP18" s="156"/>
      <c r="NQ18" s="156"/>
      <c r="NR18" s="156"/>
      <c r="NS18" s="156"/>
      <c r="NT18" s="156"/>
      <c r="NU18" s="156"/>
      <c r="NV18" s="156"/>
      <c r="NW18" s="156"/>
      <c r="NX18" s="156"/>
      <c r="NY18" s="156"/>
      <c r="NZ18" s="156"/>
      <c r="OA18" s="156"/>
      <c r="OB18" s="156"/>
      <c r="OC18" s="156"/>
      <c r="OD18" s="156"/>
      <c r="OE18" s="156"/>
      <c r="OF18" s="156"/>
      <c r="OG18" s="156"/>
      <c r="OH18" s="156"/>
      <c r="OI18" s="156"/>
      <c r="OJ18" s="156"/>
      <c r="OK18" s="156"/>
      <c r="OL18" s="156"/>
      <c r="OM18" s="156"/>
      <c r="ON18" s="156"/>
      <c r="OO18" s="156"/>
      <c r="OP18" s="156"/>
      <c r="OQ18" s="156"/>
      <c r="OR18" s="156"/>
      <c r="OS18" s="156"/>
      <c r="OT18" s="156"/>
      <c r="OU18" s="156"/>
      <c r="OV18" s="156"/>
      <c r="OW18" s="156"/>
      <c r="OX18" s="156"/>
      <c r="OY18" s="156"/>
      <c r="OZ18" s="156"/>
      <c r="PA18" s="156"/>
      <c r="PB18" s="156"/>
      <c r="PC18" s="156"/>
      <c r="PD18" s="156"/>
      <c r="PE18" s="156"/>
      <c r="PF18" s="156"/>
      <c r="PG18" s="156"/>
      <c r="PH18" s="156"/>
      <c r="PI18" s="156"/>
      <c r="PJ18" s="156"/>
      <c r="PK18" s="156"/>
      <c r="PL18" s="156"/>
      <c r="PM18" s="156"/>
      <c r="PN18" s="156"/>
      <c r="PO18" s="156"/>
      <c r="PP18" s="156"/>
      <c r="PQ18" s="156"/>
    </row>
    <row r="19" spans="1:433">
      <c r="A19" s="11" t="s">
        <v>49</v>
      </c>
      <c r="B19" s="12" t="s">
        <v>51</v>
      </c>
      <c r="C19" s="13"/>
      <c r="D19" s="747"/>
      <c r="E19" s="735"/>
      <c r="F19" s="747"/>
      <c r="G19" s="13"/>
      <c r="H19" s="747"/>
      <c r="I19" s="13"/>
      <c r="J19" s="747"/>
      <c r="K19" s="13"/>
      <c r="L19" s="747"/>
      <c r="M19" s="748"/>
      <c r="N19" s="749"/>
      <c r="O19" s="13"/>
      <c r="P19" s="747"/>
      <c r="Q19" s="13"/>
      <c r="R19" s="696"/>
      <c r="S19" s="13"/>
      <c r="T19" s="689"/>
      <c r="U19" s="13"/>
      <c r="V19" s="696"/>
      <c r="W19" s="13"/>
      <c r="X19" s="347"/>
      <c r="Y19" s="203"/>
      <c r="Z19" s="140"/>
      <c r="AA19" s="203"/>
      <c r="AB19" s="347"/>
      <c r="AC19" s="203"/>
      <c r="AD19" s="140"/>
      <c r="AE19" s="203"/>
      <c r="AF19" s="347"/>
      <c r="AG19" s="203"/>
      <c r="AH19" s="140"/>
      <c r="AI19" s="139"/>
      <c r="AJ19" s="347"/>
      <c r="AK19" s="203"/>
      <c r="AL19" s="140"/>
      <c r="AM19" s="139"/>
      <c r="AN19" s="347"/>
      <c r="AO19" s="203"/>
      <c r="AP19" s="140"/>
      <c r="AQ19" s="139"/>
      <c r="AR19" s="347"/>
      <c r="AS19" s="203"/>
      <c r="AT19" s="140"/>
      <c r="AU19" s="139"/>
      <c r="AV19" s="347"/>
      <c r="AW19" s="203"/>
      <c r="AX19" s="140"/>
      <c r="AY19" s="139"/>
      <c r="AZ19" s="347"/>
      <c r="BA19" s="203"/>
      <c r="BB19" s="140"/>
      <c r="BC19" s="139"/>
      <c r="BD19" s="347"/>
      <c r="BE19" s="203"/>
      <c r="BF19" s="347"/>
      <c r="BG19" s="139"/>
      <c r="BH19" s="347"/>
      <c r="BI19" s="203"/>
      <c r="BJ19" s="140"/>
      <c r="BK19" s="139"/>
      <c r="BL19" s="347"/>
      <c r="BM19" s="203"/>
      <c r="BN19" s="347"/>
      <c r="BO19" s="203"/>
      <c r="BP19" s="347"/>
      <c r="BQ19" s="203"/>
      <c r="BR19" s="140"/>
      <c r="BS19" s="203"/>
      <c r="BT19" s="347"/>
      <c r="BU19" s="203"/>
      <c r="BV19" s="140">
        <f>CV19</f>
        <v>5.01</v>
      </c>
      <c r="BW19" s="139"/>
      <c r="BX19" s="347"/>
      <c r="BY19" s="203"/>
      <c r="BZ19" s="140">
        <f>CZ19</f>
        <v>1.5999999999999999</v>
      </c>
      <c r="CA19" s="139"/>
      <c r="CB19" s="347"/>
      <c r="CC19" s="203"/>
      <c r="CD19" s="140">
        <f>DD19</f>
        <v>3.4</v>
      </c>
      <c r="CE19" s="139"/>
      <c r="CF19" s="347"/>
      <c r="CG19" s="203"/>
      <c r="CH19" s="140">
        <f>DH19</f>
        <v>0.7</v>
      </c>
      <c r="CI19" s="139"/>
      <c r="CJ19" s="347"/>
      <c r="CK19" s="203"/>
      <c r="CL19" s="140">
        <f>DL19</f>
        <v>2.71</v>
      </c>
      <c r="CM19" s="139"/>
      <c r="CN19" s="347"/>
      <c r="CO19" s="203"/>
      <c r="CP19" s="140">
        <f>DP19</f>
        <v>1.25</v>
      </c>
      <c r="CQ19" s="139"/>
      <c r="CR19" s="347"/>
      <c r="CS19" s="203"/>
      <c r="CT19" s="140">
        <f>DT19</f>
        <v>1.45</v>
      </c>
      <c r="CU19" s="139"/>
      <c r="CV19" s="347">
        <v>5.01</v>
      </c>
      <c r="CW19" s="203"/>
      <c r="CX19" s="140">
        <f>DX19</f>
        <v>5.15</v>
      </c>
      <c r="CY19" s="139"/>
      <c r="CZ19" s="347">
        <f>CV19-DD19-0.01</f>
        <v>1.5999999999999999</v>
      </c>
      <c r="DA19" s="203"/>
      <c r="DB19" s="140">
        <f>DX19-EF19</f>
        <v>1.4500000000000002</v>
      </c>
      <c r="DC19" s="139"/>
      <c r="DD19" s="347">
        <v>3.4</v>
      </c>
      <c r="DE19" s="203"/>
      <c r="DF19" s="140">
        <v>3.7</v>
      </c>
      <c r="DG19" s="139"/>
      <c r="DH19" s="347">
        <v>0.7</v>
      </c>
      <c r="DI19" s="203"/>
      <c r="DJ19" s="140">
        <f>EJ19</f>
        <v>1</v>
      </c>
      <c r="DK19" s="139"/>
      <c r="DL19" s="347">
        <v>2.71</v>
      </c>
      <c r="DM19" s="203"/>
      <c r="DN19" s="140">
        <v>2.7</v>
      </c>
      <c r="DO19" s="139"/>
      <c r="DP19" s="347">
        <v>1.25</v>
      </c>
      <c r="DQ19" s="203"/>
      <c r="DR19" s="140">
        <v>1.26</v>
      </c>
      <c r="DS19" s="139"/>
      <c r="DT19" s="347">
        <v>1.45</v>
      </c>
      <c r="DU19" s="203"/>
      <c r="DV19" s="140">
        <f>EV19</f>
        <v>1.43</v>
      </c>
      <c r="DW19" s="139"/>
      <c r="DX19" s="347">
        <v>5.15</v>
      </c>
      <c r="DY19" s="203"/>
      <c r="DZ19" s="140">
        <f>EZ19</f>
        <v>4.54</v>
      </c>
      <c r="EA19" s="139"/>
      <c r="EB19" s="347">
        <f>DX19-EF19</f>
        <v>1.4500000000000002</v>
      </c>
      <c r="EC19" s="203"/>
      <c r="ED19" s="140">
        <f>DZ19-EH19</f>
        <v>0.95000000000000018</v>
      </c>
      <c r="EE19" s="139"/>
      <c r="EF19" s="347">
        <v>3.7</v>
      </c>
      <c r="EG19" s="203"/>
      <c r="EH19" s="140">
        <v>3.59</v>
      </c>
      <c r="EI19" s="139"/>
      <c r="EJ19" s="347">
        <f>EF19-EN19</f>
        <v>1</v>
      </c>
      <c r="EK19" s="203"/>
      <c r="EL19" s="140">
        <f>EH19-EP19</f>
        <v>1.0999999999999996</v>
      </c>
      <c r="EM19" s="139"/>
      <c r="EN19" s="347">
        <v>2.7</v>
      </c>
      <c r="EO19" s="203"/>
      <c r="EP19" s="140">
        <v>2.4900000000000002</v>
      </c>
      <c r="EQ19" s="139"/>
      <c r="ER19" s="347">
        <f>EN19-EV19</f>
        <v>1.2700000000000002</v>
      </c>
      <c r="ES19" s="203"/>
      <c r="ET19" s="140">
        <f>EP19-EX19</f>
        <v>1.3100000000000003</v>
      </c>
      <c r="EU19" s="139"/>
      <c r="EV19" s="347">
        <v>1.43</v>
      </c>
      <c r="EW19" s="203"/>
      <c r="EX19" s="140">
        <f>FX19</f>
        <v>1.18</v>
      </c>
      <c r="EY19" s="139"/>
      <c r="EZ19" s="347">
        <v>4.54</v>
      </c>
      <c r="FA19" s="203"/>
      <c r="FB19" s="140">
        <f>GB19</f>
        <v>3.78</v>
      </c>
      <c r="FC19" s="139"/>
      <c r="FD19" s="347">
        <f>EZ19-FH19</f>
        <v>0.95000000000000018</v>
      </c>
      <c r="FE19" s="203"/>
      <c r="FF19" s="347">
        <f>FB19-FJ19</f>
        <v>0.83999999999999986</v>
      </c>
      <c r="FG19" s="12"/>
      <c r="FH19" s="347">
        <v>3.59</v>
      </c>
      <c r="FI19" s="203"/>
      <c r="FJ19" s="140">
        <f>GJ19</f>
        <v>2.94</v>
      </c>
      <c r="FK19" s="139"/>
      <c r="FL19" s="347">
        <f>FH19-FP19</f>
        <v>1.0999999999999996</v>
      </c>
      <c r="FM19" s="203"/>
      <c r="FN19" s="347">
        <f>FJ19-FR19</f>
        <v>0.68000000000000016</v>
      </c>
      <c r="FO19" s="12"/>
      <c r="FP19" s="347">
        <v>2.4900000000000002</v>
      </c>
      <c r="FQ19" s="203"/>
      <c r="FR19" s="140">
        <v>2.2599999999999998</v>
      </c>
      <c r="FS19" s="139"/>
      <c r="FT19" s="347">
        <f t="shared" ref="FT19:FV22" si="5">FP19-FX19</f>
        <v>1.3100000000000003</v>
      </c>
      <c r="FU19" s="203"/>
      <c r="FV19" s="347">
        <f t="shared" si="5"/>
        <v>0.99999999999999978</v>
      </c>
      <c r="FW19" s="139"/>
      <c r="FX19" s="347">
        <v>1.18</v>
      </c>
      <c r="FY19" s="203"/>
      <c r="FZ19" s="140">
        <v>1.26</v>
      </c>
      <c r="GA19" s="139"/>
      <c r="GB19" s="356">
        <v>3.78</v>
      </c>
      <c r="GC19" s="139"/>
      <c r="GD19" s="140">
        <v>5.01</v>
      </c>
      <c r="GE19" s="355"/>
      <c r="GF19" s="356">
        <v>0.84</v>
      </c>
      <c r="GG19" s="139"/>
      <c r="GH19" s="140">
        <v>1.4</v>
      </c>
      <c r="GI19" s="139"/>
      <c r="GJ19" s="140">
        <v>2.94</v>
      </c>
      <c r="GK19" s="139"/>
      <c r="GL19" s="140">
        <v>3.61</v>
      </c>
      <c r="GM19" s="355"/>
      <c r="GN19" s="140">
        <v>0.69</v>
      </c>
      <c r="GO19" s="139"/>
      <c r="GP19" s="140">
        <v>1.0900000000000001</v>
      </c>
      <c r="GQ19" s="139"/>
      <c r="GR19" s="355"/>
      <c r="GS19" s="140">
        <v>2.2599999999999998</v>
      </c>
      <c r="GT19" s="139"/>
      <c r="GU19" s="140">
        <v>2.5299999999999998</v>
      </c>
      <c r="GV19" s="355"/>
      <c r="GW19" s="140">
        <v>0.99</v>
      </c>
      <c r="GX19" s="139"/>
      <c r="GY19" s="140">
        <v>1.1000000000000001</v>
      </c>
      <c r="GZ19" s="355"/>
      <c r="HA19" s="140">
        <v>1.26</v>
      </c>
      <c r="HB19" s="139"/>
      <c r="HC19" s="140">
        <v>1.42</v>
      </c>
      <c r="HD19" s="139"/>
      <c r="HE19" s="140">
        <v>5.01</v>
      </c>
      <c r="HG19" s="140">
        <v>6.45</v>
      </c>
      <c r="HH19" s="355"/>
      <c r="HI19" s="140">
        <v>1.4</v>
      </c>
      <c r="HJ19" s="139"/>
      <c r="HK19" s="140">
        <v>1.7700000000000005</v>
      </c>
      <c r="HL19" s="355"/>
      <c r="HM19" s="140">
        <v>3.61</v>
      </c>
      <c r="HO19" s="140">
        <v>4.68</v>
      </c>
      <c r="HP19" s="355"/>
      <c r="HQ19" s="140">
        <v>1.0900000000000001</v>
      </c>
      <c r="HR19" s="139"/>
      <c r="HS19" s="140">
        <v>1.36</v>
      </c>
      <c r="HT19" s="13"/>
      <c r="HU19" s="205">
        <v>2.5299999999999998</v>
      </c>
      <c r="HW19" s="205">
        <v>3.32</v>
      </c>
      <c r="HX19" s="188"/>
      <c r="HY19" s="205">
        <v>1.1000000000000001</v>
      </c>
      <c r="HZ19" s="203"/>
      <c r="IA19" s="205">
        <v>1.8099999999999998</v>
      </c>
      <c r="IB19" s="188"/>
      <c r="IC19" s="204">
        <v>1.42</v>
      </c>
      <c r="ID19" s="203"/>
      <c r="IE19" s="205">
        <v>1.51</v>
      </c>
      <c r="IF19" s="139"/>
      <c r="IG19" s="204">
        <v>6.45</v>
      </c>
      <c r="IH19" s="203"/>
      <c r="II19" s="205">
        <v>6.37</v>
      </c>
      <c r="IJ19" s="188"/>
      <c r="IK19" s="204">
        <v>1.7700000000000005</v>
      </c>
      <c r="IL19" s="203"/>
      <c r="IM19" s="205">
        <v>2.16</v>
      </c>
      <c r="IN19" s="188"/>
      <c r="IO19" s="204">
        <f>IS19-IW19</f>
        <v>1.3599999999999999</v>
      </c>
      <c r="IP19" s="203"/>
      <c r="IQ19" s="205">
        <f>IU19-IY19</f>
        <v>1.73</v>
      </c>
      <c r="IR19" s="188"/>
      <c r="IS19" s="204">
        <v>4.68</v>
      </c>
      <c r="IT19" s="203"/>
      <c r="IU19" s="205">
        <v>4.21</v>
      </c>
      <c r="IV19" s="188"/>
      <c r="IW19" s="204">
        <v>3.32</v>
      </c>
      <c r="IX19" s="203"/>
      <c r="IY19" s="205">
        <f>KB19</f>
        <v>2.48</v>
      </c>
      <c r="IZ19" s="188"/>
      <c r="JA19" s="204">
        <f>IW19-JE19</f>
        <v>1.8099999999999998</v>
      </c>
      <c r="JB19" s="203"/>
      <c r="JC19" s="205">
        <v>1.27</v>
      </c>
      <c r="JD19" s="188"/>
      <c r="JE19" s="204">
        <v>1.51</v>
      </c>
      <c r="JF19" s="203"/>
      <c r="JG19" s="205">
        <v>1.21</v>
      </c>
      <c r="JH19" s="188"/>
      <c r="JI19" s="204">
        <v>6.37</v>
      </c>
      <c r="JJ19" s="203"/>
      <c r="JK19" s="205">
        <v>4.91</v>
      </c>
      <c r="JL19" s="188"/>
      <c r="JM19" s="188"/>
      <c r="JN19" s="204">
        <v>2.16</v>
      </c>
      <c r="JO19" s="203"/>
      <c r="JP19" s="205">
        <v>1.46</v>
      </c>
      <c r="JQ19" s="206"/>
      <c r="JR19" s="204">
        <v>4.21</v>
      </c>
      <c r="JS19" s="203"/>
      <c r="JT19" s="205">
        <v>3.45</v>
      </c>
      <c r="JU19" s="188"/>
      <c r="JV19" s="188"/>
      <c r="JW19" s="204">
        <v>1.73</v>
      </c>
      <c r="JX19" s="203"/>
      <c r="JY19" s="205">
        <v>1.4400000000000004</v>
      </c>
      <c r="JZ19" s="188"/>
      <c r="KA19" s="188"/>
      <c r="KB19" s="204">
        <v>2.48</v>
      </c>
      <c r="KC19" s="203"/>
      <c r="KD19" s="205">
        <v>2.0099999999999998</v>
      </c>
      <c r="KE19" s="188"/>
      <c r="KF19" s="188"/>
      <c r="KG19" s="204">
        <v>1.27</v>
      </c>
      <c r="KH19" s="203"/>
      <c r="KI19" s="205">
        <v>1.0399999999999998</v>
      </c>
      <c r="KJ19" s="188"/>
      <c r="KK19" s="204">
        <v>1.21</v>
      </c>
      <c r="KL19" s="203"/>
      <c r="KM19" s="205">
        <v>0.97</v>
      </c>
      <c r="KN19" s="188"/>
      <c r="KO19" s="205">
        <v>4.91</v>
      </c>
      <c r="KP19" s="188"/>
      <c r="KQ19" s="205">
        <v>5.4</v>
      </c>
      <c r="KR19" s="188"/>
      <c r="KS19" s="205">
        <v>1.45</v>
      </c>
      <c r="KT19" s="188"/>
      <c r="KU19" s="205">
        <v>1.41</v>
      </c>
      <c r="KV19" s="188"/>
      <c r="KW19" s="205">
        <v>3.45</v>
      </c>
      <c r="KX19" s="203"/>
      <c r="KY19" s="205">
        <v>3.99</v>
      </c>
      <c r="KZ19" s="203"/>
      <c r="LA19" s="205">
        <v>1.44</v>
      </c>
      <c r="LB19" s="203"/>
      <c r="LC19" s="205">
        <v>1.44</v>
      </c>
      <c r="LD19" s="203"/>
      <c r="LE19" s="205">
        <v>2.0099999999999998</v>
      </c>
      <c r="LF19" s="203"/>
      <c r="LG19" s="205">
        <v>2.5499999999999998</v>
      </c>
      <c r="LH19" s="203"/>
      <c r="LI19" s="205">
        <v>1.04</v>
      </c>
      <c r="LJ19" s="203"/>
      <c r="LK19" s="205">
        <v>1.3</v>
      </c>
      <c r="LL19" s="203"/>
      <c r="LM19" s="205">
        <v>0.97</v>
      </c>
      <c r="LN19" s="203"/>
      <c r="LO19" s="205">
        <v>1.25</v>
      </c>
      <c r="LP19" s="203"/>
      <c r="LQ19" s="205">
        <v>5.4</v>
      </c>
      <c r="LR19" s="203"/>
      <c r="LS19" s="205">
        <v>5.45</v>
      </c>
      <c r="LT19" s="203"/>
      <c r="LU19" s="205">
        <v>1.41</v>
      </c>
      <c r="LV19" s="203"/>
      <c r="LW19" s="205">
        <v>1.19</v>
      </c>
      <c r="LX19" s="203"/>
      <c r="LY19" s="205">
        <v>3.99</v>
      </c>
      <c r="LZ19" s="156"/>
      <c r="MA19" s="205">
        <v>4.26</v>
      </c>
      <c r="MB19" s="156"/>
      <c r="MC19" s="205">
        <v>1.44</v>
      </c>
      <c r="MD19" s="156"/>
      <c r="ME19" s="205">
        <v>1.26</v>
      </c>
      <c r="MF19" s="156"/>
      <c r="MG19" s="205">
        <v>2.5499999999999998</v>
      </c>
      <c r="MH19" s="156"/>
      <c r="MI19" s="205">
        <v>3</v>
      </c>
      <c r="MJ19" s="156"/>
      <c r="MK19" s="205">
        <v>1.3</v>
      </c>
      <c r="ML19" s="156"/>
      <c r="MM19" s="205">
        <v>1.48</v>
      </c>
      <c r="MN19" s="156"/>
      <c r="MO19" s="205">
        <v>1.25</v>
      </c>
      <c r="MP19" s="156"/>
      <c r="MQ19" s="205">
        <v>1.52</v>
      </c>
      <c r="MR19" s="156"/>
      <c r="MS19" s="156"/>
      <c r="MT19" s="156"/>
      <c r="MU19" s="156"/>
      <c r="MV19" s="156"/>
      <c r="MW19" s="156"/>
      <c r="MX19" s="156"/>
      <c r="MY19" s="156"/>
      <c r="MZ19" s="156"/>
      <c r="NA19" s="156"/>
      <c r="NB19" s="156"/>
      <c r="NC19" s="156"/>
      <c r="ND19" s="156"/>
      <c r="NE19" s="156"/>
      <c r="NF19" s="156"/>
      <c r="NG19" s="156"/>
      <c r="NH19" s="156"/>
      <c r="NI19" s="156"/>
      <c r="NJ19" s="156"/>
      <c r="NK19" s="156"/>
      <c r="NL19" s="156"/>
      <c r="NM19" s="156"/>
      <c r="NN19" s="156"/>
      <c r="NO19" s="156"/>
      <c r="NP19" s="156"/>
      <c r="NQ19" s="156"/>
      <c r="NR19" s="156"/>
      <c r="NS19" s="156"/>
      <c r="NT19" s="156"/>
      <c r="NU19" s="156"/>
      <c r="NV19" s="156"/>
      <c r="NW19" s="156"/>
      <c r="NX19" s="156"/>
      <c r="NY19" s="156"/>
      <c r="NZ19" s="156"/>
      <c r="OA19" s="156"/>
      <c r="OB19" s="156"/>
      <c r="OC19" s="156"/>
      <c r="OD19" s="156"/>
      <c r="OE19" s="156"/>
      <c r="OF19" s="156"/>
      <c r="OG19" s="156"/>
      <c r="OH19" s="156"/>
      <c r="OI19" s="156"/>
      <c r="OJ19" s="156"/>
      <c r="OK19" s="156"/>
      <c r="OL19" s="156"/>
      <c r="OM19" s="156"/>
      <c r="ON19" s="156"/>
      <c r="OO19" s="156"/>
      <c r="OP19" s="156"/>
      <c r="OQ19" s="156"/>
      <c r="OR19" s="156"/>
      <c r="OS19" s="156"/>
      <c r="OT19" s="156"/>
      <c r="OU19" s="156"/>
      <c r="OV19" s="156"/>
      <c r="OW19" s="156"/>
      <c r="OX19" s="156"/>
      <c r="OY19" s="156"/>
      <c r="OZ19" s="156"/>
      <c r="PA19" s="156"/>
      <c r="PB19" s="156"/>
      <c r="PC19" s="156"/>
      <c r="PD19" s="156"/>
      <c r="PE19" s="156"/>
      <c r="PF19" s="156"/>
      <c r="PG19" s="156"/>
      <c r="PH19" s="156"/>
      <c r="PI19" s="156"/>
      <c r="PJ19" s="156"/>
      <c r="PK19" s="156"/>
      <c r="PL19" s="156"/>
      <c r="PM19" s="156"/>
      <c r="PN19" s="156"/>
      <c r="PO19" s="156"/>
      <c r="PP19" s="156"/>
      <c r="PQ19" s="156"/>
    </row>
    <row r="20" spans="1:433">
      <c r="A20" s="7" t="s">
        <v>50</v>
      </c>
      <c r="B20" s="13" t="s">
        <v>2</v>
      </c>
      <c r="C20" s="13"/>
      <c r="D20" s="750">
        <f>+'Dane operacyjne_Operating data'!F6+'Dane operacyjne_Operating data'!E6</f>
        <v>7.3714999999999993</v>
      </c>
      <c r="E20" s="735"/>
      <c r="F20" s="750">
        <f>+AF20</f>
        <v>5.95</v>
      </c>
      <c r="G20" s="13"/>
      <c r="H20" s="750">
        <f>+'Dane operacyjne_Operating data'!E6</f>
        <v>3.2444999999999999</v>
      </c>
      <c r="I20" s="13"/>
      <c r="J20" s="750">
        <f>+AJ20</f>
        <v>2.46</v>
      </c>
      <c r="K20" s="13"/>
      <c r="L20" s="750">
        <v>4.1269999999999998</v>
      </c>
      <c r="M20" s="745"/>
      <c r="N20" s="751">
        <f>AN20</f>
        <v>3.4899999999999998</v>
      </c>
      <c r="O20" s="13"/>
      <c r="P20" s="752">
        <f>'Dane operacyjne_Operating data'!G6</f>
        <v>12.240691781000001</v>
      </c>
      <c r="Q20" s="13"/>
      <c r="R20" s="697">
        <f>'Dane operacyjne_Operating data'!L6</f>
        <v>11.507999999999999</v>
      </c>
      <c r="S20" s="13"/>
      <c r="T20" s="690">
        <f>'Dane operacyjne_Operating data'!H6</f>
        <v>3.8606917809999994</v>
      </c>
      <c r="U20" s="13"/>
      <c r="V20" s="697">
        <f>'Dane operacyjne_Operating data'!M6</f>
        <v>3.51</v>
      </c>
      <c r="W20" s="13"/>
      <c r="X20" s="677">
        <v>8.3770000000000007</v>
      </c>
      <c r="Y20" s="700"/>
      <c r="Z20" s="700">
        <v>7.9980000000000002</v>
      </c>
      <c r="AA20" s="193"/>
      <c r="AB20" s="677">
        <v>2.4300000000000002</v>
      </c>
      <c r="AC20" s="193"/>
      <c r="AD20" s="678">
        <v>2.59</v>
      </c>
      <c r="AE20" s="193"/>
      <c r="AF20" s="348">
        <v>5.95</v>
      </c>
      <c r="AG20" s="193"/>
      <c r="AH20" s="139">
        <f>BH20</f>
        <v>5.41</v>
      </c>
      <c r="AI20" s="139"/>
      <c r="AJ20" s="348">
        <v>2.46</v>
      </c>
      <c r="AK20" s="193"/>
      <c r="AL20" s="139">
        <f>BL20</f>
        <v>2.2000000000000002</v>
      </c>
      <c r="AM20" s="139"/>
      <c r="AN20" s="348">
        <f>'Dane operacyjne_Operating data'!K6</f>
        <v>3.4899999999999998</v>
      </c>
      <c r="AO20" s="193"/>
      <c r="AP20" s="139">
        <f>BP20</f>
        <v>3.21</v>
      </c>
      <c r="AQ20" s="139"/>
      <c r="AR20" s="348">
        <f>'Dane operacyjne_Operating data'!L6</f>
        <v>11.507999999999999</v>
      </c>
      <c r="AS20" s="193"/>
      <c r="AT20" s="139">
        <f>'Dane operacyjne_Operating data'!Q6</f>
        <v>12.667999999999999</v>
      </c>
      <c r="AU20" s="139"/>
      <c r="AV20" s="348">
        <f>'Dane operacyjne_Operating data'!M6</f>
        <v>3.51</v>
      </c>
      <c r="AW20" s="193"/>
      <c r="AX20" s="139">
        <f>'Dane operacyjne_Operating data'!R6</f>
        <v>3.68</v>
      </c>
      <c r="AY20" s="139"/>
      <c r="AZ20" s="348">
        <f>6.8+1.2</f>
        <v>8</v>
      </c>
      <c r="BA20" s="193"/>
      <c r="BB20" s="139">
        <f>CB20</f>
        <v>8.99</v>
      </c>
      <c r="BC20" s="139"/>
      <c r="BD20" s="348">
        <f>AZ20-BH20</f>
        <v>2.59</v>
      </c>
      <c r="BE20" s="193"/>
      <c r="BF20" s="139">
        <f>CF20</f>
        <v>2.68</v>
      </c>
      <c r="BG20" s="139"/>
      <c r="BH20" s="348">
        <f>4.53+0.88</f>
        <v>5.41</v>
      </c>
      <c r="BI20" s="193"/>
      <c r="BJ20" s="139">
        <f>5.43+0.87</f>
        <v>6.3</v>
      </c>
      <c r="BK20" s="139"/>
      <c r="BL20" s="348">
        <f t="shared" ref="BL20:BN22" si="6">BH20-BP20</f>
        <v>2.2000000000000002</v>
      </c>
      <c r="BM20" s="193"/>
      <c r="BN20" s="348">
        <f t="shared" si="6"/>
        <v>2.46</v>
      </c>
      <c r="BO20" s="193"/>
      <c r="BP20" s="348">
        <v>3.21</v>
      </c>
      <c r="BQ20" s="193"/>
      <c r="BR20" s="139">
        <f>CR20</f>
        <v>3.84</v>
      </c>
      <c r="BS20" s="193"/>
      <c r="BT20" s="348">
        <f>10.99+1.67</f>
        <v>12.66</v>
      </c>
      <c r="BU20" s="193"/>
      <c r="BV20" s="139">
        <f>CV20</f>
        <v>15.47</v>
      </c>
      <c r="BW20" s="139"/>
      <c r="BX20" s="348">
        <f>BT20-CB20</f>
        <v>3.67</v>
      </c>
      <c r="BY20" s="193"/>
      <c r="BZ20" s="139">
        <f>CZ20</f>
        <v>4.2900000000000009</v>
      </c>
      <c r="CA20" s="139"/>
      <c r="CB20" s="348">
        <v>8.99</v>
      </c>
      <c r="CC20" s="193"/>
      <c r="CD20" s="139">
        <f>DD20</f>
        <v>11.17</v>
      </c>
      <c r="CE20" s="139"/>
      <c r="CF20" s="348">
        <v>2.68</v>
      </c>
      <c r="CG20" s="193"/>
      <c r="CH20" s="139">
        <f>DH20</f>
        <v>3.32</v>
      </c>
      <c r="CI20" s="139"/>
      <c r="CJ20" s="348">
        <v>6.3</v>
      </c>
      <c r="CK20" s="193"/>
      <c r="CL20" s="139">
        <v>7.84</v>
      </c>
      <c r="CM20" s="139"/>
      <c r="CN20" s="348">
        <v>2.46</v>
      </c>
      <c r="CO20" s="193"/>
      <c r="CP20" s="139">
        <v>3.94</v>
      </c>
      <c r="CQ20" s="139"/>
      <c r="CR20" s="348">
        <v>3.84</v>
      </c>
      <c r="CS20" s="193"/>
      <c r="CT20" s="139">
        <f>DT20</f>
        <v>3.8818000000000001</v>
      </c>
      <c r="CU20" s="139"/>
      <c r="CV20" s="348">
        <f>1.57+13.9</f>
        <v>15.47</v>
      </c>
      <c r="CW20" s="193"/>
      <c r="CX20" s="139">
        <f>DX20</f>
        <v>15.59</v>
      </c>
      <c r="CY20" s="139"/>
      <c r="CZ20" s="348">
        <f>CV20-DD20-0.01</f>
        <v>4.2900000000000009</v>
      </c>
      <c r="DA20" s="193"/>
      <c r="DB20" s="139">
        <f>DX20-EF20</f>
        <v>4.2099999999999991</v>
      </c>
      <c r="DC20" s="139"/>
      <c r="DD20" s="348">
        <v>11.17</v>
      </c>
      <c r="DE20" s="193"/>
      <c r="DF20" s="139">
        <v>11.38</v>
      </c>
      <c r="DG20" s="139"/>
      <c r="DH20" s="348">
        <v>3.32</v>
      </c>
      <c r="DI20" s="193"/>
      <c r="DJ20" s="139">
        <f>EJ20</f>
        <v>3.6500000000000004</v>
      </c>
      <c r="DK20" s="139"/>
      <c r="DL20" s="348">
        <v>7.8</v>
      </c>
      <c r="DM20" s="193"/>
      <c r="DN20" s="139">
        <v>7.73</v>
      </c>
      <c r="DO20" s="139"/>
      <c r="DP20" s="348">
        <f>DL20-DT20</f>
        <v>3.9181999999999997</v>
      </c>
      <c r="DQ20" s="193"/>
      <c r="DR20" s="139">
        <f>DN20-DV20</f>
        <v>3.5100000000000007</v>
      </c>
      <c r="DS20" s="139"/>
      <c r="DT20" s="348">
        <f>3.337+0.5448</f>
        <v>3.8818000000000001</v>
      </c>
      <c r="DU20" s="193"/>
      <c r="DV20" s="139">
        <f>EV20</f>
        <v>4.22</v>
      </c>
      <c r="DW20" s="139"/>
      <c r="DX20" s="348">
        <f>13.88+1.71</f>
        <v>15.59</v>
      </c>
      <c r="DY20" s="193"/>
      <c r="DZ20" s="139">
        <f>EZ20</f>
        <v>12.5</v>
      </c>
      <c r="EA20" s="139"/>
      <c r="EB20" s="348">
        <f>DX20-EF20</f>
        <v>4.2099999999999991</v>
      </c>
      <c r="EC20" s="193"/>
      <c r="ED20" s="139">
        <f>DZ20-EH20</f>
        <v>3.7899999999999991</v>
      </c>
      <c r="EE20" s="139"/>
      <c r="EF20" s="348">
        <v>11.38</v>
      </c>
      <c r="EG20" s="193"/>
      <c r="EH20" s="139">
        <v>8.7100000000000009</v>
      </c>
      <c r="EI20" s="139"/>
      <c r="EJ20" s="348">
        <f>EF20-EN20</f>
        <v>3.6500000000000004</v>
      </c>
      <c r="EK20" s="193"/>
      <c r="EL20" s="139">
        <f>EH20-EP20</f>
        <v>2.8400000000000007</v>
      </c>
      <c r="EM20" s="139"/>
      <c r="EN20" s="348">
        <v>7.73</v>
      </c>
      <c r="EO20" s="193"/>
      <c r="EP20" s="139">
        <v>5.87</v>
      </c>
      <c r="EQ20" s="139"/>
      <c r="ER20" s="348">
        <f>EN20-EV20</f>
        <v>3.5100000000000007</v>
      </c>
      <c r="ES20" s="193"/>
      <c r="ET20" s="139">
        <f>EP20-EX20</f>
        <v>2.66</v>
      </c>
      <c r="EU20" s="139"/>
      <c r="EV20" s="348">
        <v>4.22</v>
      </c>
      <c r="EW20" s="193"/>
      <c r="EX20" s="139">
        <f>FX20</f>
        <v>3.21</v>
      </c>
      <c r="EY20" s="139"/>
      <c r="EZ20" s="348">
        <f>10.56+1.94</f>
        <v>12.5</v>
      </c>
      <c r="FA20" s="193"/>
      <c r="FB20" s="139">
        <f>GB20</f>
        <v>13.88</v>
      </c>
      <c r="FC20" s="139"/>
      <c r="FD20" s="348">
        <f>EZ20-FH20</f>
        <v>3.7899999999999991</v>
      </c>
      <c r="FE20" s="193"/>
      <c r="FF20" s="348">
        <f>FB20-FJ20</f>
        <v>3.4700000000000006</v>
      </c>
      <c r="FG20" s="13"/>
      <c r="FH20" s="348">
        <v>8.7100000000000009</v>
      </c>
      <c r="FI20" s="193"/>
      <c r="FJ20" s="139">
        <f>GJ20</f>
        <v>10.41</v>
      </c>
      <c r="FK20" s="139"/>
      <c r="FL20" s="348">
        <f>FH20-FP20</f>
        <v>2.8400000000000007</v>
      </c>
      <c r="FM20" s="193"/>
      <c r="FN20" s="348">
        <f>FJ20-FR20</f>
        <v>3.26</v>
      </c>
      <c r="FO20" s="13"/>
      <c r="FP20" s="348">
        <f>1+4.87</f>
        <v>5.87</v>
      </c>
      <c r="FQ20" s="193"/>
      <c r="FR20" s="139">
        <v>7.15</v>
      </c>
      <c r="FS20" s="139"/>
      <c r="FT20" s="348">
        <f>FP20-FX20</f>
        <v>2.66</v>
      </c>
      <c r="FU20" s="193"/>
      <c r="FV20" s="348">
        <f t="shared" si="5"/>
        <v>3.3300000000000005</v>
      </c>
      <c r="FW20" s="139"/>
      <c r="FX20" s="348">
        <v>3.21</v>
      </c>
      <c r="FY20" s="193"/>
      <c r="FZ20" s="139">
        <v>3.82</v>
      </c>
      <c r="GA20" s="139"/>
      <c r="GB20" s="357">
        <v>13.88</v>
      </c>
      <c r="GC20" s="141"/>
      <c r="GD20" s="139">
        <v>16.21</v>
      </c>
      <c r="GE20" s="355"/>
      <c r="GF20" s="357">
        <v>3.47</v>
      </c>
      <c r="GG20" s="141"/>
      <c r="GH20" s="139">
        <v>4.3</v>
      </c>
      <c r="GI20" s="139"/>
      <c r="GJ20" s="139">
        <v>10.41</v>
      </c>
      <c r="GK20" s="141"/>
      <c r="GL20" s="139">
        <v>11.9</v>
      </c>
      <c r="GM20" s="355"/>
      <c r="GN20" s="139">
        <v>3.26</v>
      </c>
      <c r="GO20" s="141"/>
      <c r="GP20" s="139">
        <v>4.3499999999999996</v>
      </c>
      <c r="GQ20" s="139"/>
      <c r="GR20" s="355"/>
      <c r="GS20" s="139">
        <v>7.15</v>
      </c>
      <c r="GT20" s="141"/>
      <c r="GU20" s="139">
        <v>7.55</v>
      </c>
      <c r="GV20" s="355"/>
      <c r="GW20" s="139">
        <v>3.33</v>
      </c>
      <c r="GX20" s="141"/>
      <c r="GY20" s="139">
        <v>3.62</v>
      </c>
      <c r="GZ20" s="355"/>
      <c r="HA20" s="139">
        <v>3.82</v>
      </c>
      <c r="HB20" s="141"/>
      <c r="HC20" s="139">
        <v>3.94</v>
      </c>
      <c r="HD20" s="139"/>
      <c r="HE20" s="139">
        <v>16.21</v>
      </c>
      <c r="HG20" s="141">
        <v>18.41</v>
      </c>
      <c r="HH20" s="355"/>
      <c r="HI20" s="139">
        <v>4.3100000000000005</v>
      </c>
      <c r="HJ20" s="141"/>
      <c r="HK20" s="139">
        <v>4.3800000000000008</v>
      </c>
      <c r="HL20" s="355"/>
      <c r="HM20" s="139">
        <v>11.9</v>
      </c>
      <c r="HO20" s="141">
        <v>14.03</v>
      </c>
      <c r="HP20" s="355"/>
      <c r="HQ20" s="139">
        <v>4.3499999999999996</v>
      </c>
      <c r="HR20" s="141"/>
      <c r="HS20" s="139">
        <v>4.57</v>
      </c>
      <c r="HT20" s="13"/>
      <c r="HU20" s="203">
        <v>7.55</v>
      </c>
      <c r="HW20" s="193">
        <v>9.4600000000000009</v>
      </c>
      <c r="HX20" s="188"/>
      <c r="HY20" s="203">
        <v>3.62</v>
      </c>
      <c r="HZ20" s="193"/>
      <c r="IA20" s="203">
        <v>4.5599999999999996</v>
      </c>
      <c r="IB20" s="188"/>
      <c r="IC20" s="206">
        <v>3.94</v>
      </c>
      <c r="ID20" s="193"/>
      <c r="IE20" s="203">
        <v>4.8899999999999997</v>
      </c>
      <c r="IF20" s="139"/>
      <c r="IG20" s="206">
        <v>18.41</v>
      </c>
      <c r="IH20" s="193"/>
      <c r="II20" s="193">
        <v>16.8</v>
      </c>
      <c r="IJ20" s="188"/>
      <c r="IK20" s="206">
        <v>4.3800000000000008</v>
      </c>
      <c r="IL20" s="193"/>
      <c r="IM20" s="203">
        <v>4.3600000000000003</v>
      </c>
      <c r="IN20" s="188"/>
      <c r="IO20" s="206">
        <f>IS20-IW20</f>
        <v>4.5699999999999985</v>
      </c>
      <c r="IP20" s="193"/>
      <c r="IQ20" s="203">
        <f>IU20-IY20</f>
        <v>4</v>
      </c>
      <c r="IR20" s="188"/>
      <c r="IS20" s="206">
        <v>14.03</v>
      </c>
      <c r="IT20" s="193"/>
      <c r="IU20" s="193">
        <v>12.45</v>
      </c>
      <c r="IV20" s="188"/>
      <c r="IW20" s="206">
        <v>9.4600000000000009</v>
      </c>
      <c r="IX20" s="193"/>
      <c r="IY20" s="193">
        <f>KB20</f>
        <v>8.4499999999999993</v>
      </c>
      <c r="IZ20" s="188"/>
      <c r="JA20" s="206">
        <v>4.5599999999999996</v>
      </c>
      <c r="JB20" s="193"/>
      <c r="JC20" s="203">
        <v>4.1399999999999997</v>
      </c>
      <c r="JD20" s="188"/>
      <c r="JE20" s="206">
        <v>4.8899999999999997</v>
      </c>
      <c r="JF20" s="193"/>
      <c r="JG20" s="193">
        <v>4.3099999999999996</v>
      </c>
      <c r="JH20" s="188"/>
      <c r="JI20" s="206">
        <v>16.8</v>
      </c>
      <c r="JJ20" s="193"/>
      <c r="JK20" s="193">
        <v>18.559999999999999</v>
      </c>
      <c r="JL20" s="188"/>
      <c r="JM20" s="188"/>
      <c r="JN20" s="206">
        <v>4.3500000000000014</v>
      </c>
      <c r="JO20" s="193"/>
      <c r="JP20" s="193">
        <v>4.759999999999998</v>
      </c>
      <c r="JQ20" s="206"/>
      <c r="JR20" s="206">
        <v>12.45</v>
      </c>
      <c r="JS20" s="193"/>
      <c r="JT20" s="193">
        <v>13.8</v>
      </c>
      <c r="JU20" s="188"/>
      <c r="JV20" s="188"/>
      <c r="JW20" s="206">
        <v>4</v>
      </c>
      <c r="JX20" s="193"/>
      <c r="JY20" s="193">
        <v>5.0400000000000009</v>
      </c>
      <c r="JZ20" s="188"/>
      <c r="KA20" s="188"/>
      <c r="KB20" s="206">
        <v>8.4499999999999993</v>
      </c>
      <c r="KC20" s="193"/>
      <c r="KD20" s="203">
        <v>8.76</v>
      </c>
      <c r="KE20" s="188"/>
      <c r="KF20" s="188"/>
      <c r="KG20" s="206">
        <v>4.1399999999999997</v>
      </c>
      <c r="KH20" s="193"/>
      <c r="KI20" s="203">
        <v>4.3599999999999994</v>
      </c>
      <c r="KJ20" s="188"/>
      <c r="KK20" s="206">
        <v>4.3099999999999996</v>
      </c>
      <c r="KL20" s="193"/>
      <c r="KM20" s="203">
        <v>4.4000000000000004</v>
      </c>
      <c r="KN20" s="188"/>
      <c r="KO20" s="203">
        <v>16.64</v>
      </c>
      <c r="KP20" s="188"/>
      <c r="KQ20" s="203">
        <v>15.37</v>
      </c>
      <c r="KR20" s="188"/>
      <c r="KS20" s="203">
        <v>4.25</v>
      </c>
      <c r="KT20" s="188"/>
      <c r="KU20" s="203">
        <v>4.1100000000000003</v>
      </c>
      <c r="KV20" s="188"/>
      <c r="KW20" s="203">
        <v>12.38</v>
      </c>
      <c r="KX20" s="193"/>
      <c r="KY20" s="203">
        <v>11.27</v>
      </c>
      <c r="KZ20" s="193"/>
      <c r="LA20" s="203">
        <v>4.54</v>
      </c>
      <c r="LB20" s="193"/>
      <c r="LC20" s="203">
        <v>3.98</v>
      </c>
      <c r="LD20" s="193"/>
      <c r="LE20" s="203">
        <v>7.84</v>
      </c>
      <c r="LF20" s="193"/>
      <c r="LG20" s="203">
        <v>7.29</v>
      </c>
      <c r="LH20" s="193"/>
      <c r="LI20" s="203">
        <v>3.92</v>
      </c>
      <c r="LJ20" s="193"/>
      <c r="LK20" s="203">
        <v>3.59</v>
      </c>
      <c r="LL20" s="193"/>
      <c r="LM20" s="203">
        <v>3.93</v>
      </c>
      <c r="LN20" s="193"/>
      <c r="LO20" s="203">
        <v>3.69</v>
      </c>
      <c r="LP20" s="193"/>
      <c r="LQ20" s="203">
        <v>15.37</v>
      </c>
      <c r="LR20" s="193"/>
      <c r="LS20" s="203">
        <v>19.39</v>
      </c>
      <c r="LT20" s="193"/>
      <c r="LU20" s="203">
        <v>4.1100000000000003</v>
      </c>
      <c r="LV20" s="193"/>
      <c r="LW20" s="203">
        <v>5.1100000000000003</v>
      </c>
      <c r="LX20" s="203"/>
      <c r="LY20" s="203">
        <v>11.27</v>
      </c>
      <c r="LZ20" s="156"/>
      <c r="MA20" s="203">
        <v>14.28</v>
      </c>
      <c r="MB20" s="156"/>
      <c r="MC20" s="203">
        <v>3.98</v>
      </c>
      <c r="MD20" s="156"/>
      <c r="ME20" s="203">
        <v>4.53</v>
      </c>
      <c r="MF20" s="156"/>
      <c r="MG20" s="203">
        <v>7.29</v>
      </c>
      <c r="MH20" s="156"/>
      <c r="MI20" s="203">
        <v>9.75</v>
      </c>
      <c r="MJ20" s="156"/>
      <c r="MK20" s="203">
        <v>3.59</v>
      </c>
      <c r="ML20" s="156"/>
      <c r="MM20" s="203">
        <v>4.5999999999999996</v>
      </c>
      <c r="MN20" s="156"/>
      <c r="MO20" s="203">
        <v>3.69</v>
      </c>
      <c r="MP20" s="156"/>
      <c r="MQ20" s="203">
        <v>5.15</v>
      </c>
      <c r="MR20" s="156"/>
      <c r="MS20" s="156"/>
      <c r="MT20" s="156"/>
      <c r="MU20" s="156"/>
      <c r="MV20" s="156"/>
      <c r="MW20" s="156"/>
      <c r="MX20" s="156"/>
      <c r="MY20" s="156"/>
      <c r="MZ20" s="156"/>
      <c r="NA20" s="156"/>
      <c r="NB20" s="156"/>
      <c r="NC20" s="156"/>
      <c r="ND20" s="156"/>
      <c r="NE20" s="156"/>
      <c r="NF20" s="156"/>
      <c r="NG20" s="156"/>
      <c r="NH20" s="156"/>
      <c r="NI20" s="156"/>
      <c r="NJ20" s="156"/>
      <c r="NK20" s="156"/>
      <c r="NL20" s="156"/>
      <c r="NM20" s="156"/>
      <c r="NN20" s="156"/>
      <c r="NO20" s="156"/>
      <c r="NP20" s="156"/>
      <c r="NQ20" s="156"/>
      <c r="NR20" s="156"/>
      <c r="NS20" s="156"/>
      <c r="NT20" s="156"/>
      <c r="NU20" s="156"/>
      <c r="NV20" s="156"/>
      <c r="NW20" s="156"/>
      <c r="NX20" s="156"/>
      <c r="NY20" s="156"/>
      <c r="NZ20" s="156"/>
      <c r="OA20" s="156"/>
      <c r="OB20" s="156"/>
      <c r="OC20" s="156"/>
      <c r="OD20" s="156"/>
      <c r="OE20" s="156"/>
      <c r="OF20" s="156"/>
      <c r="OG20" s="156"/>
      <c r="OH20" s="156"/>
      <c r="OI20" s="156"/>
      <c r="OJ20" s="156"/>
      <c r="OK20" s="156"/>
      <c r="OL20" s="156"/>
      <c r="OM20" s="156"/>
      <c r="ON20" s="156"/>
      <c r="OO20" s="156"/>
      <c r="OP20" s="156"/>
      <c r="OQ20" s="156"/>
      <c r="OR20" s="156"/>
      <c r="OS20" s="156"/>
      <c r="OT20" s="156"/>
      <c r="OU20" s="156"/>
      <c r="OV20" s="156"/>
      <c r="OW20" s="156"/>
      <c r="OX20" s="156"/>
      <c r="OY20" s="156"/>
      <c r="OZ20" s="156"/>
      <c r="PA20" s="156"/>
      <c r="PB20" s="156"/>
      <c r="PC20" s="156"/>
      <c r="PD20" s="156"/>
      <c r="PE20" s="156"/>
      <c r="PF20" s="156"/>
      <c r="PG20" s="156"/>
      <c r="PH20" s="156"/>
      <c r="PI20" s="156"/>
      <c r="PJ20" s="156"/>
      <c r="PK20" s="156"/>
      <c r="PL20" s="156"/>
      <c r="PM20" s="156"/>
      <c r="PN20" s="156"/>
      <c r="PO20" s="156"/>
      <c r="PP20" s="156"/>
      <c r="PQ20" s="156"/>
    </row>
    <row r="21" spans="1:433">
      <c r="A21" s="7" t="s">
        <v>38</v>
      </c>
      <c r="B21" s="13" t="s">
        <v>2</v>
      </c>
      <c r="C21" s="13"/>
      <c r="D21" s="750">
        <v>26.708141000000001</v>
      </c>
      <c r="E21" s="735"/>
      <c r="F21" s="750">
        <v>26.021007637</v>
      </c>
      <c r="G21" s="13"/>
      <c r="H21" s="750">
        <v>12.642784000000001</v>
      </c>
      <c r="I21" s="13"/>
      <c r="J21" s="750">
        <v>12.295446240000002</v>
      </c>
      <c r="K21" s="13"/>
      <c r="L21" s="750">
        <v>14.07</v>
      </c>
      <c r="M21" s="745"/>
      <c r="N21" s="751">
        <f>AN21</f>
        <v>13.73</v>
      </c>
      <c r="O21" s="13"/>
      <c r="P21" s="750">
        <f>'Dane operacyjne_Operating data'!G12</f>
        <v>52.051168636999996</v>
      </c>
      <c r="Q21" s="13"/>
      <c r="R21" s="698">
        <f>'Dane operacyjne_Operating data'!L12</f>
        <v>51.67</v>
      </c>
      <c r="S21" s="13"/>
      <c r="T21" s="691">
        <f>'Dane operacyjne_Operating data'!H12</f>
        <v>13.51</v>
      </c>
      <c r="U21" s="13"/>
      <c r="V21" s="698">
        <f>'Dane operacyjne_Operating data'!M12</f>
        <v>13.16</v>
      </c>
      <c r="W21" s="13"/>
      <c r="X21" s="348">
        <v>38.539433637000002</v>
      </c>
      <c r="Y21" s="193"/>
      <c r="Z21" s="139">
        <v>38.510957176999995</v>
      </c>
      <c r="AA21" s="193"/>
      <c r="AB21" s="348">
        <v>12.518426</v>
      </c>
      <c r="AC21" s="193"/>
      <c r="AD21" s="139">
        <v>12.48</v>
      </c>
      <c r="AE21" s="193"/>
      <c r="AF21" s="348">
        <v>26.02</v>
      </c>
      <c r="AG21" s="193"/>
      <c r="AH21" s="139">
        <f>BH21</f>
        <v>26.03</v>
      </c>
      <c r="AI21" s="139"/>
      <c r="AJ21" s="348">
        <v>12.3</v>
      </c>
      <c r="AK21" s="193"/>
      <c r="AL21" s="139">
        <f>BL21</f>
        <v>12.38</v>
      </c>
      <c r="AM21" s="139"/>
      <c r="AN21" s="348">
        <f>'Dane operacyjne_Operating data'!K12</f>
        <v>13.73</v>
      </c>
      <c r="AO21" s="193"/>
      <c r="AP21" s="139">
        <f>BP21</f>
        <v>13.65</v>
      </c>
      <c r="AQ21" s="139"/>
      <c r="AR21" s="348">
        <f>'Dane operacyjne_Operating data'!L12</f>
        <v>51.67</v>
      </c>
      <c r="AS21" s="193"/>
      <c r="AT21" s="139">
        <f>'Dane operacyjne_Operating data'!Q12</f>
        <v>51.295544999999997</v>
      </c>
      <c r="AU21" s="139"/>
      <c r="AV21" s="348">
        <f>'Dane operacyjne_Operating data'!M12</f>
        <v>13.16</v>
      </c>
      <c r="AW21" s="193"/>
      <c r="AX21" s="139">
        <f>'Dane operacyjne_Operating data'!R12</f>
        <v>13.028544999999999</v>
      </c>
      <c r="AY21" s="139"/>
      <c r="AZ21" s="348">
        <v>38.51</v>
      </c>
      <c r="BA21" s="193"/>
      <c r="BB21" s="139">
        <f>CB21</f>
        <v>38.270000000000003</v>
      </c>
      <c r="BC21" s="139"/>
      <c r="BD21" s="348">
        <f>AZ21-BH21</f>
        <v>12.479999999999997</v>
      </c>
      <c r="BE21" s="193"/>
      <c r="BF21" s="139">
        <f>CF21</f>
        <v>12.28</v>
      </c>
      <c r="BG21" s="139"/>
      <c r="BH21" s="348">
        <v>26.03</v>
      </c>
      <c r="BI21" s="193"/>
      <c r="BJ21" s="139">
        <v>25.98</v>
      </c>
      <c r="BK21" s="139"/>
      <c r="BL21" s="348">
        <f t="shared" si="6"/>
        <v>12.38</v>
      </c>
      <c r="BM21" s="193"/>
      <c r="BN21" s="348">
        <f t="shared" si="6"/>
        <v>12.32</v>
      </c>
      <c r="BO21" s="193"/>
      <c r="BP21" s="348">
        <v>13.65</v>
      </c>
      <c r="BQ21" s="193"/>
      <c r="BR21" s="139">
        <f>CR21</f>
        <v>13.66</v>
      </c>
      <c r="BS21" s="193"/>
      <c r="BT21" s="348">
        <v>51.3</v>
      </c>
      <c r="BU21" s="193"/>
      <c r="BV21" s="139">
        <f>CV21</f>
        <v>53.68</v>
      </c>
      <c r="BW21" s="139"/>
      <c r="BX21" s="348">
        <v>12.28</v>
      </c>
      <c r="BY21" s="193"/>
      <c r="BZ21" s="139">
        <f>CZ21</f>
        <v>13.379999999999997</v>
      </c>
      <c r="CA21" s="139"/>
      <c r="CB21" s="348">
        <v>38.270000000000003</v>
      </c>
      <c r="CC21" s="193"/>
      <c r="CD21" s="139">
        <f>DD21</f>
        <v>40.31</v>
      </c>
      <c r="CE21" s="139"/>
      <c r="CF21" s="348">
        <v>12.28</v>
      </c>
      <c r="CG21" s="193"/>
      <c r="CH21" s="139">
        <f>DH21</f>
        <v>12.850000000000001</v>
      </c>
      <c r="CI21" s="139"/>
      <c r="CJ21" s="348">
        <v>25.98</v>
      </c>
      <c r="CK21" s="193"/>
      <c r="CL21" s="139">
        <f>DL21</f>
        <v>27.46</v>
      </c>
      <c r="CM21" s="139"/>
      <c r="CN21" s="348">
        <v>12.32</v>
      </c>
      <c r="CO21" s="193"/>
      <c r="CP21" s="139">
        <f>DP21</f>
        <v>13.200000000000001</v>
      </c>
      <c r="CQ21" s="139"/>
      <c r="CR21" s="348">
        <v>13.66</v>
      </c>
      <c r="CS21" s="193"/>
      <c r="CT21" s="139">
        <f>DT21</f>
        <v>14.26</v>
      </c>
      <c r="CU21" s="139"/>
      <c r="CV21" s="348">
        <v>53.68</v>
      </c>
      <c r="CW21" s="193"/>
      <c r="CX21" s="139">
        <f>DX21</f>
        <v>53.97</v>
      </c>
      <c r="CY21" s="139"/>
      <c r="CZ21" s="348">
        <f>CV21-DD21+0.01</f>
        <v>13.379999999999997</v>
      </c>
      <c r="DA21" s="193"/>
      <c r="DB21" s="139">
        <f>DX21-EF21</f>
        <v>13.909999999999997</v>
      </c>
      <c r="DC21" s="139"/>
      <c r="DD21" s="348">
        <v>40.31</v>
      </c>
      <c r="DE21" s="193"/>
      <c r="DF21" s="139">
        <v>40.06</v>
      </c>
      <c r="DG21" s="139"/>
      <c r="DH21" s="348">
        <f>DD21-DL21</f>
        <v>12.850000000000001</v>
      </c>
      <c r="DI21" s="193"/>
      <c r="DJ21" s="139">
        <f>EJ21</f>
        <v>13.3</v>
      </c>
      <c r="DK21" s="139"/>
      <c r="DL21" s="348">
        <v>27.46</v>
      </c>
      <c r="DM21" s="193"/>
      <c r="DN21" s="139">
        <v>26.76</v>
      </c>
      <c r="DO21" s="139"/>
      <c r="DP21" s="348">
        <f>DL21-DT21</f>
        <v>13.200000000000001</v>
      </c>
      <c r="DQ21" s="193"/>
      <c r="DR21" s="139">
        <f>DN21-DV21</f>
        <v>12.970000000000002</v>
      </c>
      <c r="DS21" s="139"/>
      <c r="DT21" s="348">
        <v>14.26</v>
      </c>
      <c r="DU21" s="193"/>
      <c r="DV21" s="139">
        <f>EV21</f>
        <v>13.79</v>
      </c>
      <c r="DW21" s="139"/>
      <c r="DX21" s="348">
        <v>53.97</v>
      </c>
      <c r="DY21" s="193"/>
      <c r="DZ21" s="139">
        <f>EZ21</f>
        <v>50.26</v>
      </c>
      <c r="EA21" s="139"/>
      <c r="EB21" s="348">
        <f>DX21-EF21</f>
        <v>13.909999999999997</v>
      </c>
      <c r="EC21" s="193"/>
      <c r="ED21" s="139">
        <f>DZ21-EH21</f>
        <v>13.32</v>
      </c>
      <c r="EE21" s="139"/>
      <c r="EF21" s="348">
        <v>40.06</v>
      </c>
      <c r="EG21" s="193"/>
      <c r="EH21" s="139">
        <v>36.94</v>
      </c>
      <c r="EI21" s="139"/>
      <c r="EJ21" s="348">
        <f>EF21-EN21</f>
        <v>13.3</v>
      </c>
      <c r="EK21" s="193"/>
      <c r="EL21" s="139">
        <f>EH21-EP21</f>
        <v>12.339999999999996</v>
      </c>
      <c r="EM21" s="139"/>
      <c r="EN21" s="348">
        <v>26.76</v>
      </c>
      <c r="EO21" s="193"/>
      <c r="EP21" s="139">
        <v>24.6</v>
      </c>
      <c r="EQ21" s="139"/>
      <c r="ER21" s="348">
        <f>EN21-EV21</f>
        <v>12.970000000000002</v>
      </c>
      <c r="ES21" s="193"/>
      <c r="ET21" s="139">
        <f>EP21-EX21</f>
        <v>11.350000000000001</v>
      </c>
      <c r="EU21" s="139"/>
      <c r="EV21" s="348">
        <v>13.79</v>
      </c>
      <c r="EW21" s="193"/>
      <c r="EX21" s="139">
        <f>FX21</f>
        <v>13.25</v>
      </c>
      <c r="EY21" s="139"/>
      <c r="EZ21" s="348">
        <v>50.26</v>
      </c>
      <c r="FA21" s="193"/>
      <c r="FB21" s="139">
        <f>GB21</f>
        <v>51.73</v>
      </c>
      <c r="FC21" s="139"/>
      <c r="FD21" s="348">
        <f>EZ21-FH21</f>
        <v>13.32</v>
      </c>
      <c r="FE21" s="193"/>
      <c r="FF21" s="348">
        <f>FB21-FJ21</f>
        <v>12.989999999999995</v>
      </c>
      <c r="FG21" s="13"/>
      <c r="FH21" s="348">
        <v>36.94</v>
      </c>
      <c r="FI21" s="193"/>
      <c r="FJ21" s="139">
        <f>GJ21</f>
        <v>38.74</v>
      </c>
      <c r="FK21" s="139"/>
      <c r="FL21" s="348">
        <f>FH21-FP21</f>
        <v>12.339999999999996</v>
      </c>
      <c r="FM21" s="193"/>
      <c r="FN21" s="348">
        <f>FJ21-FR21</f>
        <v>12.660000000000004</v>
      </c>
      <c r="FO21" s="13"/>
      <c r="FP21" s="348">
        <v>24.6</v>
      </c>
      <c r="FQ21" s="193"/>
      <c r="FR21" s="139">
        <v>26.08</v>
      </c>
      <c r="FS21" s="139"/>
      <c r="FT21" s="348">
        <f t="shared" si="5"/>
        <v>11.350000000000001</v>
      </c>
      <c r="FU21" s="193"/>
      <c r="FV21" s="348">
        <f t="shared" si="5"/>
        <v>12.54</v>
      </c>
      <c r="FW21" s="139"/>
      <c r="FX21" s="348">
        <v>13.25</v>
      </c>
      <c r="FY21" s="193"/>
      <c r="FZ21" s="139">
        <v>13.54</v>
      </c>
      <c r="GA21" s="139"/>
      <c r="GB21" s="357">
        <v>51.73</v>
      </c>
      <c r="GC21" s="141"/>
      <c r="GD21" s="139">
        <v>51.97</v>
      </c>
      <c r="GE21" s="355"/>
      <c r="GF21" s="357">
        <v>12.99</v>
      </c>
      <c r="GG21" s="141"/>
      <c r="GH21" s="139">
        <v>13.13</v>
      </c>
      <c r="GI21" s="139"/>
      <c r="GJ21" s="139">
        <v>38.74</v>
      </c>
      <c r="GK21" s="141"/>
      <c r="GL21" s="139">
        <v>38.840000000000003</v>
      </c>
      <c r="GM21" s="355"/>
      <c r="GN21" s="139">
        <v>12.66</v>
      </c>
      <c r="GO21" s="141"/>
      <c r="GP21" s="139">
        <v>12.83</v>
      </c>
      <c r="GQ21" s="139"/>
      <c r="GR21" s="355"/>
      <c r="GS21" s="139">
        <v>26.08</v>
      </c>
      <c r="GT21" s="141"/>
      <c r="GU21" s="139">
        <v>26.01</v>
      </c>
      <c r="GV21" s="355"/>
      <c r="GW21" s="139">
        <v>12.54</v>
      </c>
      <c r="GX21" s="141"/>
      <c r="GY21" s="139">
        <v>12.590000000000002</v>
      </c>
      <c r="GZ21" s="355"/>
      <c r="HA21" s="139">
        <v>13.54</v>
      </c>
      <c r="HB21" s="141"/>
      <c r="HC21" s="139">
        <v>13.42</v>
      </c>
      <c r="HD21" s="139"/>
      <c r="HE21" s="139">
        <v>51.97</v>
      </c>
      <c r="HG21" s="141">
        <v>51.37</v>
      </c>
      <c r="HH21" s="355"/>
      <c r="HI21" s="139">
        <v>13.129125999999999</v>
      </c>
      <c r="HJ21" s="141"/>
      <c r="HK21" s="139">
        <v>13.062401999999999</v>
      </c>
      <c r="HL21" s="355"/>
      <c r="HM21" s="139">
        <v>38.840873999999999</v>
      </c>
      <c r="HO21" s="141">
        <v>38.307597999999999</v>
      </c>
      <c r="HP21" s="355"/>
      <c r="HQ21" s="139">
        <v>12.83</v>
      </c>
      <c r="HR21" s="141"/>
      <c r="HS21" s="139">
        <v>12.61</v>
      </c>
      <c r="HT21" s="13"/>
      <c r="HU21" s="203">
        <v>26.01</v>
      </c>
      <c r="HW21" s="193">
        <v>25.7</v>
      </c>
      <c r="HX21" s="188"/>
      <c r="HY21" s="203">
        <v>12.590000000000002</v>
      </c>
      <c r="HZ21" s="193"/>
      <c r="IA21" s="203">
        <v>12.4</v>
      </c>
      <c r="IB21" s="188"/>
      <c r="IC21" s="206">
        <v>13.42</v>
      </c>
      <c r="ID21" s="193"/>
      <c r="IE21" s="203">
        <v>13.31</v>
      </c>
      <c r="IF21" s="139"/>
      <c r="IG21" s="206">
        <v>51.37</v>
      </c>
      <c r="IH21" s="193"/>
      <c r="II21" s="203">
        <v>49.68</v>
      </c>
      <c r="IJ21" s="188"/>
      <c r="IK21" s="206">
        <v>13.059999999999995</v>
      </c>
      <c r="IL21" s="193"/>
      <c r="IM21" s="203">
        <v>12.86</v>
      </c>
      <c r="IN21" s="188"/>
      <c r="IO21" s="206">
        <f>IS21-IW21</f>
        <v>12.610000000000003</v>
      </c>
      <c r="IP21" s="193"/>
      <c r="IQ21" s="203">
        <f>IU21-IY21</f>
        <v>12.05</v>
      </c>
      <c r="IR21" s="188"/>
      <c r="IS21" s="206">
        <v>38.31</v>
      </c>
      <c r="IT21" s="193"/>
      <c r="IU21" s="193">
        <v>36.82</v>
      </c>
      <c r="IV21" s="188"/>
      <c r="IW21" s="206">
        <v>25.7</v>
      </c>
      <c r="IX21" s="193"/>
      <c r="IY21" s="193">
        <f>KB21</f>
        <v>24.77</v>
      </c>
      <c r="IZ21" s="188"/>
      <c r="JA21" s="206">
        <v>12.4</v>
      </c>
      <c r="JB21" s="193"/>
      <c r="JC21" s="203">
        <v>12.04</v>
      </c>
      <c r="JD21" s="188"/>
      <c r="JE21" s="206">
        <v>13.31</v>
      </c>
      <c r="JF21" s="193"/>
      <c r="JG21" s="193">
        <v>12.73</v>
      </c>
      <c r="JH21" s="188"/>
      <c r="JI21" s="206">
        <v>49.68</v>
      </c>
      <c r="JJ21" s="193"/>
      <c r="JK21" s="193">
        <v>49.2</v>
      </c>
      <c r="JL21" s="188"/>
      <c r="JM21" s="188"/>
      <c r="JN21" s="206">
        <v>12.86</v>
      </c>
      <c r="JO21" s="193"/>
      <c r="JP21" s="193">
        <v>12.510000000000005</v>
      </c>
      <c r="JQ21" s="206"/>
      <c r="JR21" s="206">
        <v>36.82</v>
      </c>
      <c r="JS21" s="193"/>
      <c r="JT21" s="193">
        <v>36.69</v>
      </c>
      <c r="JU21" s="188"/>
      <c r="JV21" s="188"/>
      <c r="JW21" s="206">
        <v>12.05</v>
      </c>
      <c r="JX21" s="193"/>
      <c r="JY21" s="193">
        <v>12.099999999999998</v>
      </c>
      <c r="JZ21" s="188"/>
      <c r="KA21" s="188"/>
      <c r="KB21" s="206">
        <v>24.77</v>
      </c>
      <c r="KC21" s="193"/>
      <c r="KD21" s="203">
        <v>24.59</v>
      </c>
      <c r="KE21" s="188"/>
      <c r="KF21" s="188"/>
      <c r="KG21" s="206">
        <v>12.04</v>
      </c>
      <c r="KH21" s="193"/>
      <c r="KI21" s="203">
        <v>12.09</v>
      </c>
      <c r="KJ21" s="188"/>
      <c r="KK21" s="206">
        <v>12.73</v>
      </c>
      <c r="KL21" s="193"/>
      <c r="KM21" s="203">
        <v>12.5</v>
      </c>
      <c r="KN21" s="188"/>
      <c r="KO21" s="203">
        <v>49.2</v>
      </c>
      <c r="KP21" s="188"/>
      <c r="KQ21" s="203">
        <v>47.9</v>
      </c>
      <c r="KR21" s="188"/>
      <c r="KS21" s="203">
        <v>12.51</v>
      </c>
      <c r="KT21" s="188"/>
      <c r="KU21" s="203">
        <v>12.16</v>
      </c>
      <c r="KV21" s="188"/>
      <c r="KW21" s="203">
        <v>36.69</v>
      </c>
      <c r="KX21" s="193"/>
      <c r="KY21" s="203">
        <v>35.74</v>
      </c>
      <c r="KZ21" s="193"/>
      <c r="LA21" s="203">
        <v>12.1</v>
      </c>
      <c r="LB21" s="193"/>
      <c r="LC21" s="203">
        <v>11.86</v>
      </c>
      <c r="LD21" s="193"/>
      <c r="LE21" s="203">
        <v>24.59</v>
      </c>
      <c r="LF21" s="193"/>
      <c r="LG21" s="203">
        <v>23.88</v>
      </c>
      <c r="LH21" s="193"/>
      <c r="LI21" s="203">
        <v>12.09</v>
      </c>
      <c r="LJ21" s="193"/>
      <c r="LK21" s="203">
        <v>11.63</v>
      </c>
      <c r="LL21" s="193"/>
      <c r="LM21" s="203">
        <v>12.5</v>
      </c>
      <c r="LN21" s="193"/>
      <c r="LO21" s="203">
        <v>12.25</v>
      </c>
      <c r="LP21" s="193"/>
      <c r="LQ21" s="193">
        <v>47.9</v>
      </c>
      <c r="LR21" s="193"/>
      <c r="LS21" s="193">
        <v>47.9</v>
      </c>
      <c r="LT21" s="193"/>
      <c r="LU21" s="193">
        <v>12.16</v>
      </c>
      <c r="LV21" s="193"/>
      <c r="LW21" s="193">
        <v>12.18</v>
      </c>
      <c r="LX21" s="193"/>
      <c r="LY21" s="193">
        <v>35.74</v>
      </c>
      <c r="LZ21" s="156"/>
      <c r="MA21" s="193">
        <v>35.72</v>
      </c>
      <c r="MB21" s="156"/>
      <c r="MC21" s="193">
        <v>11.86</v>
      </c>
      <c r="MD21" s="156"/>
      <c r="ME21" s="193">
        <v>11.74</v>
      </c>
      <c r="MF21" s="156"/>
      <c r="MG21" s="193">
        <v>23.88</v>
      </c>
      <c r="MH21" s="156"/>
      <c r="MI21" s="193">
        <v>23.98</v>
      </c>
      <c r="MJ21" s="156"/>
      <c r="MK21" s="193">
        <v>11.63</v>
      </c>
      <c r="ML21" s="156"/>
      <c r="MM21" s="193">
        <v>11.56</v>
      </c>
      <c r="MN21" s="156"/>
      <c r="MO21" s="193">
        <v>12.25</v>
      </c>
      <c r="MP21" s="156"/>
      <c r="MQ21" s="193">
        <v>12.42</v>
      </c>
      <c r="MR21" s="156"/>
      <c r="MS21" s="156"/>
      <c r="MT21" s="156"/>
      <c r="MU21" s="156"/>
      <c r="MV21" s="156"/>
      <c r="MW21" s="156"/>
      <c r="MX21" s="156"/>
      <c r="MY21" s="156"/>
      <c r="MZ21" s="156"/>
      <c r="NA21" s="156"/>
      <c r="NB21" s="156"/>
      <c r="NC21" s="156"/>
      <c r="ND21" s="156"/>
      <c r="NE21" s="156"/>
      <c r="NF21" s="156"/>
      <c r="NG21" s="156"/>
      <c r="NH21" s="156"/>
      <c r="NI21" s="156"/>
      <c r="NJ21" s="156"/>
      <c r="NK21" s="156"/>
      <c r="NL21" s="156"/>
      <c r="NM21" s="156"/>
      <c r="NN21" s="156"/>
      <c r="NO21" s="156"/>
      <c r="NP21" s="156"/>
      <c r="NQ21" s="156"/>
      <c r="NR21" s="156"/>
      <c r="NS21" s="156"/>
      <c r="NT21" s="156"/>
      <c r="NU21" s="156"/>
      <c r="NV21" s="156"/>
      <c r="NW21" s="156"/>
      <c r="NX21" s="156"/>
      <c r="NY21" s="156"/>
      <c r="NZ21" s="156"/>
      <c r="OA21" s="156"/>
      <c r="OB21" s="156"/>
      <c r="OC21" s="156"/>
      <c r="OD21" s="156"/>
      <c r="OE21" s="156"/>
      <c r="OF21" s="156"/>
      <c r="OG21" s="156"/>
      <c r="OH21" s="156"/>
      <c r="OI21" s="156"/>
      <c r="OJ21" s="156"/>
      <c r="OK21" s="156"/>
      <c r="OL21" s="156"/>
      <c r="OM21" s="156"/>
      <c r="ON21" s="156"/>
      <c r="OO21" s="156"/>
      <c r="OP21" s="156"/>
      <c r="OQ21" s="156"/>
      <c r="OR21" s="156"/>
      <c r="OS21" s="156"/>
      <c r="OT21" s="156"/>
      <c r="OU21" s="156"/>
      <c r="OV21" s="156"/>
      <c r="OW21" s="156"/>
      <c r="OX21" s="156"/>
      <c r="OY21" s="156"/>
      <c r="OZ21" s="156"/>
      <c r="PA21" s="156"/>
      <c r="PB21" s="156"/>
      <c r="PC21" s="156"/>
      <c r="PD21" s="156"/>
      <c r="PE21" s="156"/>
      <c r="PF21" s="156"/>
      <c r="PG21" s="156"/>
      <c r="PH21" s="156"/>
      <c r="PI21" s="156"/>
      <c r="PJ21" s="156"/>
      <c r="PK21" s="156"/>
      <c r="PL21" s="156"/>
      <c r="PM21" s="156"/>
      <c r="PN21" s="156"/>
      <c r="PO21" s="156"/>
      <c r="PP21" s="156"/>
      <c r="PQ21" s="156"/>
    </row>
    <row r="22" spans="1:433">
      <c r="A22" s="15" t="s">
        <v>39</v>
      </c>
      <c r="B22" s="16" t="s">
        <v>2</v>
      </c>
      <c r="C22" s="13"/>
      <c r="D22" s="753">
        <f>'Dane operacyjne_Operating data'!E13+'Dane operacyjne_Operating data'!F13</f>
        <v>13.72</v>
      </c>
      <c r="E22" s="735"/>
      <c r="F22" s="753">
        <f>'Dane operacyjne_Operating data'!J13+'Dane operacyjne_Operating data'!K13</f>
        <v>12.688947574</v>
      </c>
      <c r="G22" s="13"/>
      <c r="H22" s="753">
        <f>'Dane operacyjne_Operating data'!E13</f>
        <v>6.07</v>
      </c>
      <c r="I22" s="13"/>
      <c r="J22" s="753">
        <f>'Dane operacyjne_Operating data'!J13</f>
        <v>5.6899475739999996</v>
      </c>
      <c r="K22" s="13"/>
      <c r="L22" s="753">
        <v>7.65</v>
      </c>
      <c r="N22" s="739">
        <f>AN22</f>
        <v>6.9989999999999997</v>
      </c>
      <c r="O22" s="13"/>
      <c r="P22" s="753">
        <f>'Dane operacyjne_Operating data'!G13</f>
        <v>25.168266733999996</v>
      </c>
      <c r="Q22" s="13"/>
      <c r="R22" s="699">
        <f>'Dane operacyjne_Operating data'!L13</f>
        <v>26.706000000000003</v>
      </c>
      <c r="S22" s="13"/>
      <c r="T22" s="692">
        <f>'Dane operacyjne_Operating data'!H13</f>
        <v>6.9396366900000004</v>
      </c>
      <c r="U22" s="13"/>
      <c r="V22" s="699">
        <f>'Dane operacyjne_Operating data'!M13</f>
        <v>7.0339999999999998</v>
      </c>
      <c r="W22" s="13"/>
      <c r="X22" s="349">
        <v>18.520917190000002</v>
      </c>
      <c r="Y22" s="156"/>
      <c r="Z22" s="138">
        <v>19.672183570000001</v>
      </c>
      <c r="AB22" s="349">
        <v>5.7474406799999995</v>
      </c>
      <c r="AC22" s="156"/>
      <c r="AD22" s="138">
        <v>6.1389607899999996</v>
      </c>
      <c r="AF22" s="349">
        <v>12.77</v>
      </c>
      <c r="AH22" s="138">
        <f>BH22</f>
        <v>13.53</v>
      </c>
      <c r="AI22" s="141"/>
      <c r="AJ22" s="349">
        <v>5.77</v>
      </c>
      <c r="AL22" s="138">
        <f>BL22</f>
        <v>6.129999999999999</v>
      </c>
      <c r="AM22" s="141"/>
      <c r="AN22" s="349">
        <f>'Dane operacyjne_Operating data'!K13</f>
        <v>6.9989999999999997</v>
      </c>
      <c r="AP22" s="138">
        <f>BP22</f>
        <v>7.4</v>
      </c>
      <c r="AQ22" s="141"/>
      <c r="AR22" s="349">
        <f>'Dane operacyjne_Operating data'!$L$13</f>
        <v>26.706000000000003</v>
      </c>
      <c r="AT22" s="138">
        <f>'Dane operacyjne_Operating data'!$Q$13</f>
        <v>30.745000000000001</v>
      </c>
      <c r="AU22" s="141"/>
      <c r="AV22" s="349">
        <f>'Dane operacyjne_Operating data'!$M$13</f>
        <v>7.0339999999999998</v>
      </c>
      <c r="AX22" s="138">
        <f>'Dane operacyjne_Operating data'!$R$13</f>
        <v>8.2900000000000009</v>
      </c>
      <c r="AY22" s="141"/>
      <c r="AZ22" s="349">
        <v>19.670000000000002</v>
      </c>
      <c r="BB22" s="138">
        <f>CB22</f>
        <v>22.46</v>
      </c>
      <c r="BC22" s="141"/>
      <c r="BD22" s="349">
        <f>AZ22-BH22</f>
        <v>6.1400000000000023</v>
      </c>
      <c r="BF22" s="138">
        <f>CF22</f>
        <v>7.05</v>
      </c>
      <c r="BG22" s="141"/>
      <c r="BH22" s="349">
        <v>13.53</v>
      </c>
      <c r="BJ22" s="138">
        <f>15.39+0.01</f>
        <v>15.4</v>
      </c>
      <c r="BK22" s="141"/>
      <c r="BL22" s="349">
        <f>BH22-BP22</f>
        <v>6.129999999999999</v>
      </c>
      <c r="BN22" s="349">
        <f t="shared" si="6"/>
        <v>7.0400000000000009</v>
      </c>
      <c r="BP22" s="349">
        <v>7.4</v>
      </c>
      <c r="BR22" s="138">
        <f>CR22</f>
        <v>8.36</v>
      </c>
      <c r="BT22" s="349">
        <v>30.75</v>
      </c>
      <c r="BV22" s="138">
        <f>CV22</f>
        <v>31.14</v>
      </c>
      <c r="BW22" s="141"/>
      <c r="BX22" s="349">
        <v>7.05</v>
      </c>
      <c r="BZ22" s="138">
        <f>CZ22</f>
        <v>8.0600000000000023</v>
      </c>
      <c r="CA22" s="141"/>
      <c r="CB22" s="349">
        <v>22.46</v>
      </c>
      <c r="CD22" s="138">
        <f>DD22</f>
        <v>23.08</v>
      </c>
      <c r="CE22" s="141"/>
      <c r="CF22" s="349">
        <v>7.05</v>
      </c>
      <c r="CH22" s="138">
        <f>DH22</f>
        <v>7.1199999999999974</v>
      </c>
      <c r="CI22" s="141"/>
      <c r="CJ22" s="349">
        <v>15.4</v>
      </c>
      <c r="CL22" s="138">
        <f>DL22</f>
        <v>15.96</v>
      </c>
      <c r="CM22" s="141"/>
      <c r="CN22" s="349">
        <v>7.04</v>
      </c>
      <c r="CP22" s="138">
        <f>DP22</f>
        <v>7.5300000000000011</v>
      </c>
      <c r="CQ22" s="141"/>
      <c r="CR22" s="349">
        <v>8.36</v>
      </c>
      <c r="CT22" s="138">
        <f>DT22</f>
        <v>8.43</v>
      </c>
      <c r="CU22" s="141"/>
      <c r="CV22" s="349">
        <v>31.14</v>
      </c>
      <c r="CX22" s="138">
        <f>DX22</f>
        <v>34.409999999999997</v>
      </c>
      <c r="CY22" s="141"/>
      <c r="CZ22" s="349">
        <f>CV22-DD22</f>
        <v>8.0600000000000023</v>
      </c>
      <c r="DB22" s="138">
        <f>DX22-EF22</f>
        <v>9.889999999999997</v>
      </c>
      <c r="DC22" s="141"/>
      <c r="DD22" s="349">
        <v>23.08</v>
      </c>
      <c r="DF22" s="138">
        <v>24.52</v>
      </c>
      <c r="DG22" s="141"/>
      <c r="DH22" s="349">
        <f>DD22-DL22</f>
        <v>7.1199999999999974</v>
      </c>
      <c r="DJ22" s="138">
        <f>EJ22</f>
        <v>7.8900000000000006</v>
      </c>
      <c r="DK22" s="141"/>
      <c r="DL22" s="349">
        <v>15.96</v>
      </c>
      <c r="DN22" s="138">
        <v>16.63</v>
      </c>
      <c r="DO22" s="141"/>
      <c r="DP22" s="349">
        <f>DL22-DT22</f>
        <v>7.5300000000000011</v>
      </c>
      <c r="DR22" s="138">
        <f>DN22-DV22</f>
        <v>7.8599999999999994</v>
      </c>
      <c r="DS22" s="141"/>
      <c r="DT22" s="349">
        <v>8.43</v>
      </c>
      <c r="DV22" s="138">
        <f>EV22</f>
        <v>8.77</v>
      </c>
      <c r="DW22" s="141"/>
      <c r="DX22" s="349">
        <v>34.409999999999997</v>
      </c>
      <c r="DZ22" s="138">
        <f>EZ22</f>
        <v>32.43</v>
      </c>
      <c r="EA22" s="141"/>
      <c r="EB22" s="349">
        <f>DX22-EF22</f>
        <v>9.889999999999997</v>
      </c>
      <c r="ED22" s="138">
        <f>DZ22-EH22</f>
        <v>8.7199999999999989</v>
      </c>
      <c r="EE22" s="141"/>
      <c r="EF22" s="349">
        <v>24.52</v>
      </c>
      <c r="EH22" s="138">
        <v>23.71</v>
      </c>
      <c r="EI22" s="141"/>
      <c r="EJ22" s="349">
        <f>EF22-EN22</f>
        <v>7.8900000000000006</v>
      </c>
      <c r="EL22" s="138">
        <f>EH22-EP22</f>
        <v>7.7200000000000006</v>
      </c>
      <c r="EM22" s="141"/>
      <c r="EN22" s="349">
        <v>16.63</v>
      </c>
      <c r="EP22" s="138">
        <v>15.99</v>
      </c>
      <c r="EQ22" s="141"/>
      <c r="ER22" s="349">
        <f>EN22-EV22</f>
        <v>7.8599999999999994</v>
      </c>
      <c r="ET22" s="138">
        <f>EP22-EX22</f>
        <v>7.1300000000000008</v>
      </c>
      <c r="EU22" s="141"/>
      <c r="EV22" s="349">
        <v>8.77</v>
      </c>
      <c r="EX22" s="138">
        <f>FX22</f>
        <v>8.86</v>
      </c>
      <c r="EY22" s="141"/>
      <c r="EZ22" s="349">
        <v>32.43</v>
      </c>
      <c r="FB22" s="138">
        <f>GB22</f>
        <v>33.729999999999997</v>
      </c>
      <c r="FC22" s="141"/>
      <c r="FD22" s="349">
        <f>EZ22-FH22</f>
        <v>8.7199999999999989</v>
      </c>
      <c r="FF22" s="349">
        <f>FB22-FJ22</f>
        <v>8.7099999999999973</v>
      </c>
      <c r="FG22" s="16"/>
      <c r="FH22" s="349">
        <v>23.71</v>
      </c>
      <c r="FJ22" s="138">
        <f>GJ22</f>
        <v>25.02</v>
      </c>
      <c r="FK22" s="141"/>
      <c r="FL22" s="349">
        <f>FH22-FP22</f>
        <v>7.7200000000000006</v>
      </c>
      <c r="FN22" s="349">
        <f>FJ22-FR22</f>
        <v>7.9899999999999984</v>
      </c>
      <c r="FO22" s="16"/>
      <c r="FP22" s="349">
        <v>15.99</v>
      </c>
      <c r="FR22" s="138">
        <v>17.03</v>
      </c>
      <c r="FS22" s="141"/>
      <c r="FT22" s="349">
        <f t="shared" si="5"/>
        <v>7.1300000000000008</v>
      </c>
      <c r="FV22" s="349">
        <f t="shared" si="5"/>
        <v>8.1000000000000014</v>
      </c>
      <c r="FW22" s="141"/>
      <c r="FX22" s="349">
        <v>8.86</v>
      </c>
      <c r="FZ22" s="138">
        <v>8.93</v>
      </c>
      <c r="GA22" s="141"/>
      <c r="GB22" s="354">
        <v>33.729999999999997</v>
      </c>
      <c r="GD22" s="138">
        <v>34.520000000000003</v>
      </c>
      <c r="GE22" s="355"/>
      <c r="GF22" s="354">
        <v>8.7100000000000009</v>
      </c>
      <c r="GH22" s="138">
        <v>9.15</v>
      </c>
      <c r="GI22" s="141"/>
      <c r="GJ22" s="138">
        <v>25.02</v>
      </c>
      <c r="GL22" s="138">
        <v>25.37</v>
      </c>
      <c r="GM22" s="355"/>
      <c r="GN22" s="138">
        <v>8</v>
      </c>
      <c r="GP22" s="138">
        <v>8.17</v>
      </c>
      <c r="GQ22" s="141"/>
      <c r="GR22" s="355"/>
      <c r="GS22" s="138">
        <v>17.03</v>
      </c>
      <c r="GU22" s="138">
        <v>17.2</v>
      </c>
      <c r="GV22" s="355"/>
      <c r="GW22" s="138">
        <v>8.1</v>
      </c>
      <c r="GY22" s="138">
        <v>7.93</v>
      </c>
      <c r="GZ22" s="355"/>
      <c r="HA22" s="138">
        <v>8.93</v>
      </c>
      <c r="HC22" s="138">
        <v>9.2799999999999994</v>
      </c>
      <c r="HD22" s="141"/>
      <c r="HE22" s="138">
        <v>34.520000000000003</v>
      </c>
      <c r="HG22" s="138">
        <v>34.94</v>
      </c>
      <c r="HH22" s="355"/>
      <c r="HI22" s="138">
        <v>9.1500000000000021</v>
      </c>
      <c r="HK22" s="138">
        <v>9.379999999999999</v>
      </c>
      <c r="HL22" s="355"/>
      <c r="HM22" s="138">
        <v>25.37</v>
      </c>
      <c r="HO22" s="138">
        <v>25.56</v>
      </c>
      <c r="HP22" s="355"/>
      <c r="HQ22" s="138">
        <v>8.17</v>
      </c>
      <c r="HS22" s="138">
        <v>8.35</v>
      </c>
      <c r="HT22" s="13"/>
      <c r="HU22" s="196">
        <v>17.2</v>
      </c>
      <c r="HW22" s="196">
        <v>17.21</v>
      </c>
      <c r="HX22" s="188"/>
      <c r="HY22" s="196">
        <v>7.93</v>
      </c>
      <c r="IA22" s="196">
        <v>8.08</v>
      </c>
      <c r="IB22" s="188"/>
      <c r="IC22" s="194">
        <v>9.2799999999999994</v>
      </c>
      <c r="IE22" s="196">
        <v>9.1199999999999992</v>
      </c>
      <c r="IF22" s="141"/>
      <c r="IG22" s="194">
        <v>34.94</v>
      </c>
      <c r="IH22" s="156"/>
      <c r="II22" s="196">
        <v>32.04</v>
      </c>
      <c r="IJ22" s="188"/>
      <c r="IK22" s="194">
        <v>9.39</v>
      </c>
      <c r="IL22" s="156"/>
      <c r="IM22" s="196">
        <v>8.8499999999999979</v>
      </c>
      <c r="IN22" s="188"/>
      <c r="IO22" s="194">
        <f>IS22-IW22</f>
        <v>8.3499999999999979</v>
      </c>
      <c r="IP22" s="156"/>
      <c r="IQ22" s="196">
        <f>IU22-IY22</f>
        <v>7.6100000000000012</v>
      </c>
      <c r="IR22" s="188"/>
      <c r="IS22" s="194">
        <v>25.56</v>
      </c>
      <c r="IT22" s="156"/>
      <c r="IU22" s="196">
        <v>23.19</v>
      </c>
      <c r="IV22" s="188"/>
      <c r="IW22" s="194">
        <v>17.21</v>
      </c>
      <c r="IX22" s="156"/>
      <c r="IY22" s="196">
        <f>KB22</f>
        <v>15.58</v>
      </c>
      <c r="IZ22" s="188"/>
      <c r="JA22" s="194">
        <v>8.08</v>
      </c>
      <c r="JB22" s="156"/>
      <c r="JC22" s="196">
        <v>7.2100000000000009</v>
      </c>
      <c r="JD22" s="188"/>
      <c r="JE22" s="194">
        <v>9.1199999999999992</v>
      </c>
      <c r="JF22" s="156"/>
      <c r="JG22" s="196">
        <v>8.3699999999999992</v>
      </c>
      <c r="JH22" s="188"/>
      <c r="JI22" s="194">
        <v>32.04</v>
      </c>
      <c r="JJ22" s="156"/>
      <c r="JK22" s="196">
        <v>35.94</v>
      </c>
      <c r="JL22" s="188"/>
      <c r="JM22" s="188"/>
      <c r="JN22" s="194">
        <v>8.8499999999999979</v>
      </c>
      <c r="JO22" s="156"/>
      <c r="JP22" s="196">
        <v>9.4799999999999969</v>
      </c>
      <c r="JQ22" s="197"/>
      <c r="JR22" s="194">
        <v>23.19</v>
      </c>
      <c r="JS22" s="156"/>
      <c r="JT22" s="196">
        <v>26.46</v>
      </c>
      <c r="JU22" s="188"/>
      <c r="JV22" s="188"/>
      <c r="JW22" s="194">
        <v>7.6100000000000012</v>
      </c>
      <c r="JX22" s="156"/>
      <c r="JY22" s="196">
        <v>8.44</v>
      </c>
      <c r="JZ22" s="188"/>
      <c r="KA22" s="188"/>
      <c r="KB22" s="194">
        <v>15.58</v>
      </c>
      <c r="KC22" s="156"/>
      <c r="KD22" s="196">
        <v>18.03</v>
      </c>
      <c r="KE22" s="188"/>
      <c r="KF22" s="188"/>
      <c r="KG22" s="194">
        <v>7.2100000000000009</v>
      </c>
      <c r="KH22" s="156"/>
      <c r="KI22" s="196">
        <v>8.5820000000000007</v>
      </c>
      <c r="KJ22" s="188"/>
      <c r="KK22" s="194">
        <v>8.3699999999999992</v>
      </c>
      <c r="KL22" s="156"/>
      <c r="KM22" s="196">
        <v>9.0500000000000007</v>
      </c>
      <c r="KN22" s="188"/>
      <c r="KO22" s="196">
        <v>35.94</v>
      </c>
      <c r="KP22" s="188"/>
      <c r="KQ22" s="196">
        <v>36.43</v>
      </c>
      <c r="KR22" s="188"/>
      <c r="KS22" s="196">
        <v>9.4700000000000006</v>
      </c>
      <c r="KT22" s="188"/>
      <c r="KU22" s="196">
        <v>9.66</v>
      </c>
      <c r="KV22" s="188"/>
      <c r="KW22" s="196">
        <v>26.46</v>
      </c>
      <c r="KX22" s="156"/>
      <c r="KY22" s="196">
        <v>26.78</v>
      </c>
      <c r="KZ22" s="156"/>
      <c r="LA22" s="196">
        <v>8.44</v>
      </c>
      <c r="LB22" s="156"/>
      <c r="LC22" s="196">
        <v>8.58</v>
      </c>
      <c r="LD22" s="156"/>
      <c r="LE22" s="196">
        <v>18.03</v>
      </c>
      <c r="LF22" s="156"/>
      <c r="LG22" s="196">
        <v>18.2</v>
      </c>
      <c r="LH22" s="156"/>
      <c r="LI22" s="196">
        <v>8.58</v>
      </c>
      <c r="LJ22" s="156"/>
      <c r="LK22" s="196">
        <v>8.5399999999999991</v>
      </c>
      <c r="LL22" s="156"/>
      <c r="LM22" s="196">
        <v>9.0500000000000007</v>
      </c>
      <c r="LN22" s="156"/>
      <c r="LO22" s="196">
        <v>10.17</v>
      </c>
      <c r="LP22" s="156"/>
      <c r="LQ22" s="196">
        <v>38.590000000000003</v>
      </c>
      <c r="LR22" s="156"/>
      <c r="LS22" s="196">
        <v>41.3</v>
      </c>
      <c r="LT22" s="156"/>
      <c r="LU22" s="196">
        <v>10.210000000000001</v>
      </c>
      <c r="LV22" s="156"/>
      <c r="LW22" s="196">
        <v>10.59</v>
      </c>
      <c r="LX22" s="193"/>
      <c r="LY22" s="196">
        <v>28.39</v>
      </c>
      <c r="LZ22" s="156"/>
      <c r="MA22" s="196">
        <v>30.71</v>
      </c>
      <c r="MB22" s="156"/>
      <c r="MC22" s="196">
        <v>9.1300000000000008</v>
      </c>
      <c r="MD22" s="156"/>
      <c r="ME22" s="196">
        <v>9.85</v>
      </c>
      <c r="MF22" s="156"/>
      <c r="MG22" s="196">
        <v>19.25</v>
      </c>
      <c r="MH22" s="156"/>
      <c r="MI22" s="196">
        <v>20.86</v>
      </c>
      <c r="MJ22" s="156"/>
      <c r="MK22" s="196">
        <v>9.08</v>
      </c>
      <c r="ML22" s="156"/>
      <c r="MM22" s="196">
        <v>9.92</v>
      </c>
      <c r="MN22" s="156"/>
      <c r="MO22" s="196">
        <v>10.17</v>
      </c>
      <c r="MP22" s="156"/>
      <c r="MQ22" s="196">
        <v>10.94</v>
      </c>
      <c r="MR22" s="156"/>
      <c r="MS22" s="156"/>
      <c r="MT22" s="156"/>
      <c r="MU22" s="156"/>
      <c r="MV22" s="156"/>
      <c r="MW22" s="156"/>
      <c r="MX22" s="156"/>
      <c r="MY22" s="156"/>
      <c r="MZ22" s="156"/>
      <c r="NA22" s="156"/>
      <c r="NB22" s="156"/>
      <c r="NC22" s="156"/>
      <c r="ND22" s="156"/>
      <c r="NE22" s="156"/>
      <c r="NF22" s="156"/>
      <c r="NG22" s="156"/>
      <c r="NH22" s="156"/>
      <c r="NI22" s="156"/>
      <c r="NJ22" s="156"/>
      <c r="NK22" s="156"/>
      <c r="NL22" s="156"/>
      <c r="NM22" s="156"/>
      <c r="NN22" s="156"/>
      <c r="NO22" s="156"/>
      <c r="NP22" s="156"/>
      <c r="NQ22" s="156"/>
      <c r="NR22" s="156"/>
      <c r="NS22" s="156"/>
      <c r="NT22" s="156"/>
      <c r="NU22" s="156"/>
      <c r="NV22" s="156"/>
      <c r="NW22" s="156"/>
      <c r="NX22" s="156"/>
      <c r="NY22" s="156"/>
      <c r="NZ22" s="156"/>
      <c r="OA22" s="156"/>
      <c r="OB22" s="156"/>
      <c r="OC22" s="156"/>
      <c r="OD22" s="156"/>
      <c r="OE22" s="156"/>
      <c r="OF22" s="156"/>
      <c r="OG22" s="156"/>
      <c r="OH22" s="156"/>
      <c r="OI22" s="156"/>
      <c r="OJ22" s="156"/>
      <c r="OK22" s="156"/>
      <c r="OL22" s="156"/>
      <c r="OM22" s="156"/>
      <c r="ON22" s="156"/>
      <c r="OO22" s="156"/>
      <c r="OP22" s="156"/>
      <c r="OQ22" s="156"/>
      <c r="OR22" s="156"/>
      <c r="OS22" s="156"/>
      <c r="OT22" s="156"/>
      <c r="OU22" s="156"/>
      <c r="OV22" s="156"/>
      <c r="OW22" s="156"/>
      <c r="OX22" s="156"/>
      <c r="OY22" s="156"/>
      <c r="OZ22" s="156"/>
      <c r="PA22" s="156"/>
      <c r="PB22" s="156"/>
      <c r="PC22" s="156"/>
      <c r="PD22" s="156"/>
      <c r="PE22" s="156"/>
      <c r="PF22" s="156"/>
      <c r="PG22" s="156"/>
      <c r="PH22" s="156"/>
      <c r="PI22" s="156"/>
      <c r="PJ22" s="156"/>
      <c r="PK22" s="156"/>
      <c r="PL22" s="156"/>
      <c r="PM22" s="156"/>
      <c r="PN22" s="156"/>
      <c r="PO22" s="156"/>
      <c r="PP22" s="156"/>
      <c r="PQ22" s="156"/>
    </row>
    <row r="23" spans="1:433"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  <c r="JB23" s="156"/>
      <c r="JC23" s="156"/>
      <c r="JD23" s="156"/>
      <c r="JE23" s="156"/>
      <c r="JF23" s="156"/>
      <c r="JG23" s="156"/>
      <c r="JH23" s="156"/>
      <c r="JI23" s="156"/>
      <c r="JJ23" s="156"/>
      <c r="JK23" s="156"/>
      <c r="JL23" s="156"/>
      <c r="JM23" s="156"/>
      <c r="JN23" s="156"/>
      <c r="JO23" s="156"/>
      <c r="JP23" s="156"/>
      <c r="JQ23" s="156"/>
      <c r="JR23" s="156"/>
      <c r="JS23" s="156"/>
      <c r="JT23" s="156"/>
      <c r="JU23" s="156"/>
      <c r="JV23" s="156"/>
      <c r="JW23" s="156"/>
      <c r="JX23" s="156"/>
      <c r="JY23" s="156"/>
      <c r="JZ23" s="156"/>
      <c r="KA23" s="156"/>
      <c r="KB23" s="156"/>
      <c r="KC23" s="156"/>
      <c r="KD23" s="156"/>
      <c r="KE23" s="156"/>
      <c r="KF23" s="156"/>
      <c r="KG23" s="156"/>
      <c r="KH23" s="156"/>
      <c r="KI23" s="156"/>
      <c r="KJ23" s="156"/>
      <c r="KK23" s="156"/>
      <c r="KL23" s="156"/>
      <c r="KM23" s="156"/>
      <c r="KN23" s="156"/>
      <c r="KO23" s="156"/>
      <c r="KP23" s="156"/>
      <c r="KQ23" s="156"/>
      <c r="KR23" s="156"/>
      <c r="KS23" s="156"/>
      <c r="KT23" s="156"/>
      <c r="KU23" s="156"/>
      <c r="KV23" s="156"/>
      <c r="KW23" s="156"/>
      <c r="KX23" s="156"/>
      <c r="KY23" s="156"/>
      <c r="KZ23" s="156"/>
      <c r="LA23" s="156"/>
      <c r="LB23" s="156"/>
      <c r="LC23" s="156"/>
      <c r="LD23" s="156"/>
      <c r="LE23" s="156"/>
      <c r="LF23" s="156"/>
      <c r="LG23" s="156"/>
      <c r="LH23" s="156"/>
      <c r="LI23" s="156"/>
      <c r="LJ23" s="156"/>
      <c r="LK23" s="156"/>
      <c r="LL23" s="156"/>
      <c r="LM23" s="156"/>
      <c r="LN23" s="156"/>
      <c r="LO23" s="156"/>
      <c r="LP23" s="156"/>
      <c r="LQ23" s="156"/>
      <c r="LR23" s="156"/>
      <c r="LS23" s="156"/>
      <c r="LT23" s="156"/>
      <c r="LU23" s="156"/>
      <c r="LV23" s="156"/>
      <c r="LW23" s="156"/>
      <c r="LX23" s="156"/>
      <c r="LY23" s="156"/>
      <c r="LZ23" s="156"/>
      <c r="MA23" s="156"/>
      <c r="MB23" s="156"/>
      <c r="MC23" s="156"/>
      <c r="MD23" s="156"/>
      <c r="ME23" s="156"/>
      <c r="MF23" s="156"/>
      <c r="MG23" s="156"/>
      <c r="MH23" s="156"/>
      <c r="MI23" s="156"/>
      <c r="MJ23" s="156"/>
      <c r="MK23" s="156"/>
      <c r="ML23" s="156"/>
      <c r="MM23" s="156"/>
      <c r="MN23" s="156"/>
      <c r="MO23" s="156"/>
      <c r="MP23" s="156"/>
      <c r="MQ23" s="156"/>
      <c r="MR23" s="156"/>
      <c r="MS23" s="156"/>
      <c r="MT23" s="156"/>
      <c r="MU23" s="156"/>
      <c r="MV23" s="156"/>
      <c r="MW23" s="156"/>
      <c r="MX23" s="156"/>
      <c r="MY23" s="156"/>
      <c r="MZ23" s="156"/>
      <c r="NA23" s="156"/>
      <c r="NB23" s="156"/>
      <c r="NC23" s="156"/>
      <c r="ND23" s="156"/>
      <c r="NE23" s="156"/>
      <c r="NF23" s="156"/>
      <c r="NG23" s="156"/>
      <c r="NH23" s="156"/>
      <c r="NI23" s="156"/>
      <c r="NJ23" s="156"/>
      <c r="NK23" s="156"/>
      <c r="NL23" s="156"/>
      <c r="NM23" s="156"/>
      <c r="NN23" s="156"/>
      <c r="NO23" s="156"/>
      <c r="NP23" s="156"/>
      <c r="NQ23" s="156"/>
      <c r="NR23" s="156"/>
      <c r="NS23" s="156"/>
      <c r="NT23" s="156"/>
      <c r="NU23" s="156"/>
      <c r="NV23" s="156"/>
      <c r="NW23" s="156"/>
      <c r="NX23" s="156"/>
      <c r="NY23" s="156"/>
      <c r="NZ23" s="156"/>
      <c r="OA23" s="156"/>
      <c r="OB23" s="156"/>
      <c r="OC23" s="156"/>
      <c r="OD23" s="156"/>
      <c r="OE23" s="156"/>
      <c r="OF23" s="156"/>
      <c r="OG23" s="156"/>
      <c r="OH23" s="156"/>
      <c r="OI23" s="156"/>
      <c r="OJ23" s="156"/>
      <c r="OK23" s="156"/>
      <c r="OL23" s="156"/>
      <c r="OM23" s="156"/>
      <c r="ON23" s="156"/>
      <c r="OO23" s="156"/>
      <c r="OP23" s="156"/>
      <c r="OQ23" s="156"/>
      <c r="OR23" s="156"/>
      <c r="OS23" s="156"/>
      <c r="OT23" s="156"/>
      <c r="OU23" s="156"/>
      <c r="OV23" s="156"/>
      <c r="OW23" s="156"/>
      <c r="OX23" s="156"/>
      <c r="OY23" s="156"/>
      <c r="OZ23" s="156"/>
      <c r="PA23" s="156"/>
      <c r="PB23" s="156"/>
      <c r="PC23" s="156"/>
      <c r="PD23" s="156"/>
      <c r="PE23" s="156"/>
      <c r="PF23" s="156"/>
      <c r="PG23" s="156"/>
      <c r="PH23" s="156"/>
      <c r="PI23" s="156"/>
      <c r="PJ23" s="156"/>
      <c r="PK23" s="156"/>
      <c r="PL23" s="156"/>
      <c r="PM23" s="156"/>
      <c r="PN23" s="156"/>
      <c r="PO23" s="156"/>
      <c r="PP23" s="156"/>
      <c r="PQ23" s="156"/>
    </row>
    <row r="24" spans="1:433"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  <c r="JA24" s="156"/>
      <c r="JB24" s="156"/>
      <c r="JC24" s="156"/>
      <c r="JD24" s="156"/>
      <c r="JE24" s="156"/>
      <c r="JF24" s="156"/>
      <c r="JG24" s="156"/>
      <c r="JH24" s="156"/>
      <c r="JI24" s="156"/>
      <c r="JJ24" s="156"/>
      <c r="JK24" s="156"/>
      <c r="JL24" s="156"/>
      <c r="JM24" s="156"/>
      <c r="JN24" s="156"/>
      <c r="JO24" s="156"/>
      <c r="JP24" s="156"/>
      <c r="JQ24" s="156"/>
      <c r="JR24" s="156"/>
      <c r="JS24" s="156"/>
      <c r="JT24" s="156"/>
      <c r="JU24" s="156"/>
      <c r="JV24" s="156"/>
      <c r="JW24" s="156"/>
      <c r="JX24" s="156"/>
      <c r="JY24" s="156"/>
      <c r="JZ24" s="156"/>
      <c r="KA24" s="156"/>
      <c r="KB24" s="156"/>
      <c r="KC24" s="156"/>
      <c r="KD24" s="156"/>
      <c r="KE24" s="156"/>
      <c r="KF24" s="156"/>
      <c r="KG24" s="156"/>
      <c r="KH24" s="156"/>
      <c r="KI24" s="156"/>
      <c r="KJ24" s="156"/>
      <c r="KK24" s="156"/>
      <c r="KL24" s="156"/>
      <c r="KM24" s="156"/>
      <c r="KN24" s="156"/>
      <c r="KO24" s="156"/>
      <c r="KP24" s="156"/>
      <c r="KQ24" s="156"/>
      <c r="KR24" s="156"/>
      <c r="KS24" s="156"/>
      <c r="KT24" s="156"/>
      <c r="KU24" s="156"/>
      <c r="KV24" s="156"/>
      <c r="KW24" s="156"/>
      <c r="KX24" s="156"/>
      <c r="KY24" s="156"/>
      <c r="KZ24" s="156"/>
      <c r="LA24" s="156"/>
      <c r="LB24" s="156"/>
      <c r="LC24" s="156"/>
      <c r="LD24" s="156"/>
      <c r="LE24" s="156"/>
      <c r="LF24" s="156"/>
      <c r="LG24" s="156"/>
      <c r="LH24" s="156"/>
      <c r="LI24" s="156"/>
      <c r="LJ24" s="156"/>
      <c r="LK24" s="156"/>
      <c r="LL24" s="156"/>
      <c r="LM24" s="156"/>
      <c r="LN24" s="156"/>
      <c r="LO24" s="156"/>
      <c r="LP24" s="156"/>
      <c r="LQ24" s="156"/>
      <c r="LR24" s="156"/>
      <c r="LS24" s="156"/>
      <c r="LT24" s="156"/>
      <c r="LU24" s="156"/>
      <c r="LV24" s="156"/>
      <c r="LW24" s="156"/>
      <c r="LX24" s="156"/>
      <c r="LY24" s="156"/>
      <c r="LZ24" s="156"/>
      <c r="MA24" s="156"/>
      <c r="MB24" s="156"/>
      <c r="MC24" s="156"/>
      <c r="MD24" s="156"/>
      <c r="ME24" s="156"/>
      <c r="MF24" s="156"/>
      <c r="MG24" s="156"/>
      <c r="MH24" s="156"/>
      <c r="MI24" s="156"/>
      <c r="MJ24" s="156"/>
      <c r="MK24" s="156"/>
      <c r="ML24" s="156"/>
      <c r="MM24" s="156"/>
      <c r="MN24" s="156"/>
      <c r="MO24" s="156"/>
      <c r="MP24" s="156"/>
      <c r="MQ24" s="156"/>
      <c r="MR24" s="156"/>
      <c r="MS24" s="156"/>
      <c r="MT24" s="156"/>
      <c r="MU24" s="156"/>
      <c r="MV24" s="156"/>
      <c r="MW24" s="156"/>
      <c r="MX24" s="156"/>
      <c r="MY24" s="156"/>
      <c r="MZ24" s="156"/>
      <c r="NA24" s="156"/>
      <c r="NB24" s="156"/>
      <c r="NC24" s="156"/>
      <c r="ND24" s="156"/>
      <c r="NE24" s="156"/>
      <c r="NF24" s="156"/>
      <c r="NG24" s="156"/>
      <c r="NH24" s="156"/>
      <c r="NI24" s="156"/>
      <c r="NJ24" s="156"/>
      <c r="NK24" s="156"/>
      <c r="NL24" s="156"/>
      <c r="NM24" s="156"/>
      <c r="NN24" s="156"/>
      <c r="NO24" s="156"/>
      <c r="NP24" s="156"/>
      <c r="NQ24" s="156"/>
      <c r="NR24" s="156"/>
      <c r="NS24" s="156"/>
      <c r="NT24" s="156"/>
      <c r="NU24" s="156"/>
      <c r="NV24" s="156"/>
      <c r="NW24" s="156"/>
      <c r="NX24" s="156"/>
      <c r="NY24" s="156"/>
      <c r="NZ24" s="156"/>
      <c r="OA24" s="156"/>
      <c r="OB24" s="156"/>
      <c r="OC24" s="156"/>
      <c r="OD24" s="156"/>
      <c r="OE24" s="156"/>
      <c r="OF24" s="156"/>
      <c r="OG24" s="156"/>
      <c r="OH24" s="156"/>
      <c r="OI24" s="156"/>
      <c r="OJ24" s="156"/>
      <c r="OK24" s="156"/>
      <c r="OL24" s="156"/>
      <c r="OM24" s="156"/>
      <c r="ON24" s="156"/>
      <c r="OO24" s="156"/>
      <c r="OP24" s="156"/>
      <c r="OQ24" s="156"/>
      <c r="OR24" s="156"/>
      <c r="OS24" s="156"/>
      <c r="OT24" s="156"/>
      <c r="OU24" s="156"/>
      <c r="OV24" s="156"/>
      <c r="OW24" s="156"/>
      <c r="OX24" s="156"/>
      <c r="OY24" s="156"/>
      <c r="OZ24" s="156"/>
      <c r="PA24" s="156"/>
      <c r="PB24" s="156"/>
      <c r="PC24" s="156"/>
      <c r="PD24" s="156"/>
      <c r="PE24" s="156"/>
      <c r="PF24" s="156"/>
      <c r="PG24" s="156"/>
      <c r="PH24" s="156"/>
      <c r="PI24" s="156"/>
      <c r="PJ24" s="156"/>
      <c r="PK24" s="156"/>
      <c r="PL24" s="156"/>
      <c r="PM24" s="156"/>
      <c r="PN24" s="156"/>
      <c r="PO24" s="156"/>
      <c r="PP24" s="156"/>
      <c r="PQ24" s="156"/>
    </row>
    <row r="25" spans="1:433">
      <c r="X25" s="586"/>
      <c r="Z25" s="586"/>
      <c r="BE25" s="337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  <c r="JA25" s="156"/>
      <c r="JB25" s="156"/>
      <c r="JC25" s="156"/>
      <c r="JD25" s="156"/>
      <c r="JE25" s="156"/>
      <c r="JF25" s="156"/>
      <c r="JG25" s="156"/>
      <c r="JH25" s="156"/>
      <c r="JI25" s="156"/>
      <c r="JJ25" s="156"/>
      <c r="JK25" s="156"/>
      <c r="JL25" s="156"/>
      <c r="JM25" s="156"/>
      <c r="JN25" s="156"/>
      <c r="JO25" s="156"/>
      <c r="JP25" s="156"/>
      <c r="JQ25" s="156"/>
      <c r="JR25" s="156"/>
      <c r="JS25" s="156"/>
      <c r="JT25" s="156"/>
      <c r="JU25" s="156"/>
      <c r="JV25" s="156"/>
      <c r="JW25" s="156"/>
      <c r="JX25" s="156"/>
      <c r="JY25" s="156"/>
      <c r="JZ25" s="156"/>
      <c r="KA25" s="156"/>
      <c r="KB25" s="156"/>
      <c r="KC25" s="156"/>
      <c r="KD25" s="156"/>
      <c r="KE25" s="156"/>
      <c r="KF25" s="156"/>
      <c r="KG25" s="156"/>
      <c r="KH25" s="156"/>
      <c r="KI25" s="156"/>
      <c r="KJ25" s="156"/>
      <c r="KK25" s="156"/>
      <c r="KL25" s="156"/>
      <c r="KM25" s="156"/>
      <c r="KN25" s="156"/>
      <c r="KO25" s="156"/>
      <c r="KP25" s="156"/>
      <c r="KQ25" s="156"/>
      <c r="KR25" s="156"/>
      <c r="KS25" s="156"/>
      <c r="KT25" s="156"/>
      <c r="KU25" s="156"/>
      <c r="KV25" s="156"/>
      <c r="KW25" s="156"/>
      <c r="KX25" s="156"/>
      <c r="KY25" s="156"/>
      <c r="KZ25" s="156"/>
      <c r="LA25" s="156"/>
      <c r="LB25" s="156"/>
      <c r="LC25" s="156"/>
      <c r="LD25" s="156"/>
      <c r="LE25" s="156"/>
      <c r="LF25" s="156"/>
      <c r="LG25" s="156"/>
      <c r="LH25" s="156"/>
      <c r="LI25" s="156"/>
      <c r="LJ25" s="156"/>
      <c r="LK25" s="156"/>
      <c r="LL25" s="156"/>
      <c r="LM25" s="156"/>
      <c r="LN25" s="156"/>
      <c r="LO25" s="156"/>
      <c r="LP25" s="156"/>
      <c r="LQ25" s="156"/>
      <c r="LR25" s="156"/>
      <c r="LS25" s="156"/>
      <c r="LT25" s="156"/>
      <c r="LU25" s="156"/>
      <c r="LV25" s="156"/>
      <c r="LW25" s="156"/>
      <c r="LX25" s="156"/>
      <c r="LY25" s="156"/>
      <c r="LZ25" s="156"/>
      <c r="MA25" s="156"/>
      <c r="MB25" s="156"/>
      <c r="MC25" s="156"/>
      <c r="MD25" s="156"/>
      <c r="ME25" s="156"/>
      <c r="MF25" s="156"/>
      <c r="MG25" s="156"/>
      <c r="MH25" s="156"/>
      <c r="MI25" s="156"/>
      <c r="MJ25" s="156"/>
      <c r="MK25" s="156"/>
      <c r="ML25" s="156"/>
      <c r="MM25" s="156"/>
      <c r="MN25" s="156"/>
      <c r="MO25" s="156"/>
      <c r="MP25" s="156"/>
      <c r="MQ25" s="156"/>
      <c r="MR25" s="156"/>
      <c r="MS25" s="156"/>
      <c r="MT25" s="156"/>
      <c r="MU25" s="156"/>
      <c r="MV25" s="156"/>
      <c r="MW25" s="156"/>
      <c r="MX25" s="156"/>
      <c r="MY25" s="156"/>
      <c r="MZ25" s="156"/>
      <c r="NA25" s="156"/>
      <c r="NB25" s="156"/>
      <c r="NC25" s="156"/>
      <c r="ND25" s="156"/>
      <c r="NE25" s="156"/>
      <c r="NF25" s="156"/>
      <c r="NG25" s="156"/>
      <c r="NH25" s="156"/>
      <c r="NI25" s="156"/>
      <c r="NJ25" s="156"/>
      <c r="NK25" s="156"/>
      <c r="NL25" s="156"/>
      <c r="NM25" s="156"/>
      <c r="NN25" s="156"/>
      <c r="NO25" s="156"/>
      <c r="NP25" s="156"/>
      <c r="NQ25" s="156"/>
      <c r="NR25" s="156"/>
      <c r="NS25" s="156"/>
      <c r="NT25" s="156"/>
      <c r="NU25" s="156"/>
      <c r="NV25" s="156"/>
      <c r="NW25" s="156"/>
      <c r="NX25" s="156"/>
      <c r="NY25" s="156"/>
      <c r="NZ25" s="156"/>
      <c r="OA25" s="156"/>
      <c r="OB25" s="156"/>
      <c r="OC25" s="156"/>
      <c r="OD25" s="156"/>
      <c r="OE25" s="156"/>
      <c r="OF25" s="156"/>
      <c r="OG25" s="156"/>
      <c r="OH25" s="156"/>
      <c r="OI25" s="156"/>
      <c r="OJ25" s="156"/>
      <c r="OK25" s="156"/>
      <c r="OL25" s="156"/>
      <c r="OM25" s="156"/>
      <c r="ON25" s="156"/>
      <c r="OO25" s="156"/>
      <c r="OP25" s="156"/>
      <c r="OQ25" s="156"/>
      <c r="OR25" s="156"/>
      <c r="OS25" s="156"/>
      <c r="OT25" s="156"/>
      <c r="OU25" s="156"/>
      <c r="OV25" s="156"/>
      <c r="OW25" s="156"/>
      <c r="OX25" s="156"/>
      <c r="OY25" s="156"/>
      <c r="OZ25" s="156"/>
      <c r="PA25" s="156"/>
      <c r="PB25" s="156"/>
      <c r="PC25" s="156"/>
      <c r="PD25" s="156"/>
      <c r="PE25" s="156"/>
      <c r="PF25" s="156"/>
      <c r="PG25" s="156"/>
      <c r="PH25" s="156"/>
      <c r="PI25" s="156"/>
      <c r="PJ25" s="156"/>
      <c r="PK25" s="156"/>
      <c r="PL25" s="156"/>
      <c r="PM25" s="156"/>
      <c r="PN25" s="156"/>
      <c r="PO25" s="156"/>
      <c r="PP25" s="156"/>
      <c r="PQ25" s="156"/>
    </row>
    <row r="26" spans="1:433"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  <c r="JA26" s="156"/>
      <c r="JB26" s="156"/>
      <c r="JC26" s="156"/>
      <c r="JD26" s="156"/>
      <c r="JE26" s="156"/>
      <c r="JF26" s="156"/>
      <c r="JG26" s="156"/>
      <c r="JH26" s="156"/>
      <c r="JI26" s="156"/>
      <c r="JJ26" s="156"/>
      <c r="JK26" s="156"/>
      <c r="JL26" s="156"/>
      <c r="JM26" s="156"/>
      <c r="JN26" s="156"/>
      <c r="JO26" s="156"/>
      <c r="JP26" s="156"/>
      <c r="JQ26" s="156"/>
      <c r="JR26" s="156"/>
      <c r="JS26" s="156"/>
      <c r="JT26" s="156"/>
      <c r="JU26" s="156"/>
      <c r="JV26" s="156"/>
      <c r="JW26" s="156"/>
      <c r="JX26" s="156"/>
      <c r="JY26" s="156"/>
      <c r="JZ26" s="156"/>
      <c r="KA26" s="156"/>
      <c r="KB26" s="156"/>
      <c r="KC26" s="156"/>
      <c r="KD26" s="156"/>
      <c r="KE26" s="156"/>
      <c r="KF26" s="156"/>
      <c r="KG26" s="156"/>
      <c r="KH26" s="156"/>
      <c r="KI26" s="156"/>
      <c r="KJ26" s="156"/>
      <c r="KK26" s="156"/>
      <c r="KL26" s="156"/>
      <c r="KM26" s="156"/>
      <c r="KN26" s="156"/>
      <c r="KO26" s="156"/>
      <c r="KP26" s="156"/>
      <c r="KQ26" s="156"/>
      <c r="KR26" s="156"/>
      <c r="KS26" s="156"/>
      <c r="KT26" s="156"/>
      <c r="KU26" s="156"/>
      <c r="KV26" s="156"/>
      <c r="KW26" s="156"/>
      <c r="KX26" s="156"/>
      <c r="KY26" s="156"/>
      <c r="KZ26" s="156"/>
      <c r="LA26" s="156"/>
      <c r="LB26" s="156"/>
      <c r="LC26" s="156"/>
      <c r="LD26" s="156"/>
      <c r="LE26" s="156"/>
      <c r="LF26" s="156"/>
      <c r="LG26" s="156"/>
      <c r="LH26" s="156"/>
      <c r="LI26" s="156"/>
      <c r="LJ26" s="156"/>
      <c r="LK26" s="156"/>
      <c r="LL26" s="156"/>
      <c r="LM26" s="156"/>
      <c r="LN26" s="156"/>
      <c r="LO26" s="156"/>
      <c r="LP26" s="156"/>
      <c r="LQ26" s="156"/>
      <c r="LR26" s="156"/>
      <c r="LS26" s="156"/>
      <c r="LT26" s="156"/>
      <c r="LU26" s="156"/>
      <c r="LV26" s="156"/>
      <c r="LW26" s="156"/>
      <c r="LX26" s="156"/>
      <c r="LY26" s="156"/>
      <c r="LZ26" s="156"/>
      <c r="MA26" s="156"/>
      <c r="MB26" s="156"/>
      <c r="MC26" s="156"/>
      <c r="MD26" s="156"/>
      <c r="ME26" s="156"/>
      <c r="MF26" s="156"/>
      <c r="MG26" s="156"/>
      <c r="MH26" s="156"/>
      <c r="MI26" s="156"/>
      <c r="MJ26" s="156"/>
      <c r="MK26" s="156"/>
      <c r="ML26" s="156"/>
      <c r="MM26" s="156"/>
      <c r="MN26" s="156"/>
      <c r="MO26" s="156"/>
      <c r="MP26" s="156"/>
      <c r="MQ26" s="156"/>
      <c r="MR26" s="156"/>
      <c r="MS26" s="156"/>
      <c r="MT26" s="156"/>
      <c r="MU26" s="156"/>
      <c r="MV26" s="156"/>
      <c r="MW26" s="156"/>
      <c r="MX26" s="156"/>
      <c r="MY26" s="156"/>
      <c r="MZ26" s="156"/>
      <c r="NA26" s="156"/>
      <c r="NB26" s="156"/>
      <c r="NC26" s="156"/>
      <c r="ND26" s="156"/>
      <c r="NE26" s="156"/>
      <c r="NF26" s="156"/>
      <c r="NG26" s="156"/>
      <c r="NH26" s="156"/>
      <c r="NI26" s="156"/>
      <c r="NJ26" s="156"/>
      <c r="NK26" s="156"/>
      <c r="NL26" s="156"/>
      <c r="NM26" s="156"/>
      <c r="NN26" s="156"/>
      <c r="NO26" s="156"/>
      <c r="NP26" s="156"/>
      <c r="NQ26" s="156"/>
      <c r="NR26" s="156"/>
      <c r="NS26" s="156"/>
      <c r="NT26" s="156"/>
      <c r="NU26" s="156"/>
      <c r="NV26" s="156"/>
      <c r="NW26" s="156"/>
      <c r="NX26" s="156"/>
      <c r="NY26" s="156"/>
      <c r="NZ26" s="156"/>
      <c r="OA26" s="156"/>
      <c r="OB26" s="156"/>
      <c r="OC26" s="156"/>
      <c r="OD26" s="156"/>
      <c r="OE26" s="156"/>
      <c r="OF26" s="156"/>
      <c r="OG26" s="156"/>
      <c r="OH26" s="156"/>
      <c r="OI26" s="156"/>
      <c r="OJ26" s="156"/>
      <c r="OK26" s="156"/>
      <c r="OL26" s="156"/>
      <c r="OM26" s="156"/>
      <c r="ON26" s="156"/>
      <c r="OO26" s="156"/>
      <c r="OP26" s="156"/>
      <c r="OQ26" s="156"/>
      <c r="OR26" s="156"/>
      <c r="OS26" s="156"/>
      <c r="OT26" s="156"/>
      <c r="OU26" s="156"/>
      <c r="OV26" s="156"/>
      <c r="OW26" s="156"/>
      <c r="OX26" s="156"/>
      <c r="OY26" s="156"/>
      <c r="OZ26" s="156"/>
      <c r="PA26" s="156"/>
      <c r="PB26" s="156"/>
      <c r="PC26" s="156"/>
      <c r="PD26" s="156"/>
      <c r="PE26" s="156"/>
      <c r="PF26" s="156"/>
      <c r="PG26" s="156"/>
      <c r="PH26" s="156"/>
      <c r="PI26" s="156"/>
      <c r="PJ26" s="156"/>
      <c r="PK26" s="156"/>
      <c r="PL26" s="156"/>
      <c r="PM26" s="156"/>
      <c r="PN26" s="156"/>
      <c r="PO26" s="156"/>
      <c r="PP26" s="156"/>
      <c r="PQ26" s="156"/>
    </row>
    <row r="27" spans="1:433"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  <c r="JA27" s="156"/>
      <c r="JB27" s="156"/>
      <c r="JC27" s="156"/>
      <c r="JD27" s="156"/>
      <c r="JE27" s="156"/>
      <c r="JF27" s="156"/>
      <c r="JG27" s="156"/>
      <c r="JH27" s="156"/>
      <c r="JI27" s="156"/>
      <c r="JJ27" s="156"/>
      <c r="JK27" s="156"/>
      <c r="JL27" s="156"/>
      <c r="JM27" s="156"/>
      <c r="JN27" s="156"/>
      <c r="JO27" s="156"/>
      <c r="JP27" s="156"/>
      <c r="JQ27" s="156"/>
      <c r="JR27" s="156"/>
      <c r="JS27" s="156"/>
      <c r="JT27" s="156"/>
      <c r="JU27" s="156"/>
      <c r="JV27" s="156"/>
      <c r="JW27" s="156"/>
      <c r="JX27" s="156"/>
      <c r="JY27" s="156"/>
      <c r="JZ27" s="156"/>
      <c r="KA27" s="156"/>
      <c r="KB27" s="156"/>
      <c r="KC27" s="156"/>
      <c r="KD27" s="156"/>
      <c r="KE27" s="156"/>
      <c r="KF27" s="156"/>
      <c r="KG27" s="156"/>
      <c r="KH27" s="156"/>
      <c r="KI27" s="156"/>
      <c r="KJ27" s="156"/>
      <c r="KK27" s="156"/>
      <c r="KL27" s="156"/>
      <c r="KM27" s="156"/>
      <c r="KN27" s="156"/>
      <c r="KO27" s="156"/>
      <c r="KP27" s="156"/>
      <c r="KQ27" s="156"/>
      <c r="KR27" s="156"/>
      <c r="KS27" s="156"/>
      <c r="KT27" s="156"/>
      <c r="KU27" s="156"/>
      <c r="KV27" s="156"/>
      <c r="KW27" s="156"/>
      <c r="KX27" s="156"/>
      <c r="KY27" s="156"/>
      <c r="KZ27" s="156"/>
      <c r="LA27" s="156"/>
      <c r="LB27" s="156"/>
      <c r="LC27" s="156"/>
      <c r="LD27" s="156"/>
      <c r="LE27" s="156"/>
      <c r="LF27" s="156"/>
      <c r="LG27" s="156"/>
      <c r="LH27" s="156"/>
      <c r="LI27" s="156"/>
      <c r="LJ27" s="156"/>
      <c r="LK27" s="156"/>
      <c r="LL27" s="156"/>
      <c r="LM27" s="156"/>
      <c r="LN27" s="156"/>
      <c r="LO27" s="156"/>
      <c r="LP27" s="156"/>
      <c r="LQ27" s="156"/>
      <c r="LR27" s="156"/>
      <c r="LS27" s="156"/>
      <c r="LT27" s="156"/>
      <c r="LU27" s="156"/>
      <c r="LV27" s="156"/>
      <c r="LW27" s="156"/>
      <c r="LX27" s="156"/>
      <c r="LY27" s="156"/>
      <c r="LZ27" s="156"/>
      <c r="MA27" s="156"/>
      <c r="MB27" s="156"/>
      <c r="MC27" s="156"/>
      <c r="MD27" s="156"/>
      <c r="ME27" s="156"/>
      <c r="MF27" s="156"/>
      <c r="MG27" s="156"/>
      <c r="MH27" s="156"/>
      <c r="MI27" s="156"/>
      <c r="MJ27" s="156"/>
      <c r="MK27" s="156"/>
      <c r="ML27" s="156"/>
      <c r="MM27" s="156"/>
      <c r="MN27" s="156"/>
      <c r="MO27" s="156"/>
      <c r="MP27" s="156"/>
      <c r="MQ27" s="156"/>
      <c r="MR27" s="156"/>
      <c r="MS27" s="156"/>
      <c r="MT27" s="156"/>
      <c r="MU27" s="156"/>
      <c r="MV27" s="156"/>
      <c r="MW27" s="156"/>
      <c r="MX27" s="156"/>
      <c r="MY27" s="156"/>
      <c r="MZ27" s="156"/>
      <c r="NA27" s="156"/>
      <c r="NB27" s="156"/>
      <c r="NC27" s="156"/>
      <c r="ND27" s="156"/>
      <c r="NE27" s="156"/>
      <c r="NF27" s="156"/>
      <c r="NG27" s="156"/>
      <c r="NH27" s="156"/>
      <c r="NI27" s="156"/>
      <c r="NJ27" s="156"/>
      <c r="NK27" s="156"/>
      <c r="NL27" s="156"/>
      <c r="NM27" s="156"/>
      <c r="NN27" s="156"/>
      <c r="NO27" s="156"/>
      <c r="NP27" s="156"/>
      <c r="NQ27" s="156"/>
      <c r="NR27" s="156"/>
      <c r="NS27" s="156"/>
      <c r="NT27" s="156"/>
      <c r="NU27" s="156"/>
      <c r="NV27" s="156"/>
      <c r="NW27" s="156"/>
      <c r="NX27" s="156"/>
      <c r="NY27" s="156"/>
      <c r="NZ27" s="156"/>
      <c r="OA27" s="156"/>
      <c r="OB27" s="156"/>
      <c r="OC27" s="156"/>
      <c r="OD27" s="156"/>
      <c r="OE27" s="156"/>
      <c r="OF27" s="156"/>
      <c r="OG27" s="156"/>
      <c r="OH27" s="156"/>
      <c r="OI27" s="156"/>
      <c r="OJ27" s="156"/>
      <c r="OK27" s="156"/>
      <c r="OL27" s="156"/>
      <c r="OM27" s="156"/>
      <c r="ON27" s="156"/>
      <c r="OO27" s="156"/>
      <c r="OP27" s="156"/>
      <c r="OQ27" s="156"/>
      <c r="OR27" s="156"/>
      <c r="OS27" s="156"/>
      <c r="OT27" s="156"/>
      <c r="OU27" s="156"/>
      <c r="OV27" s="156"/>
      <c r="OW27" s="156"/>
      <c r="OX27" s="156"/>
      <c r="OY27" s="156"/>
      <c r="OZ27" s="156"/>
      <c r="PA27" s="156"/>
      <c r="PB27" s="156"/>
      <c r="PC27" s="156"/>
      <c r="PD27" s="156"/>
      <c r="PE27" s="156"/>
      <c r="PF27" s="156"/>
      <c r="PG27" s="156"/>
      <c r="PH27" s="156"/>
      <c r="PI27" s="156"/>
      <c r="PJ27" s="156"/>
      <c r="PK27" s="156"/>
      <c r="PL27" s="156"/>
      <c r="PM27" s="156"/>
      <c r="PN27" s="156"/>
      <c r="PO27" s="156"/>
      <c r="PP27" s="156"/>
      <c r="PQ27" s="156"/>
    </row>
    <row r="28" spans="1:433"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  <c r="JA28" s="156"/>
      <c r="JB28" s="156"/>
      <c r="JC28" s="156"/>
      <c r="JD28" s="156"/>
      <c r="JE28" s="156"/>
      <c r="JF28" s="156"/>
      <c r="JG28" s="156"/>
      <c r="JH28" s="156"/>
      <c r="JI28" s="156"/>
      <c r="JJ28" s="156"/>
      <c r="JK28" s="156"/>
      <c r="JL28" s="156"/>
      <c r="JM28" s="156"/>
      <c r="JN28" s="156"/>
      <c r="JO28" s="156"/>
      <c r="JP28" s="156"/>
      <c r="JQ28" s="156"/>
      <c r="JR28" s="156"/>
      <c r="JS28" s="156"/>
      <c r="JT28" s="156"/>
      <c r="JU28" s="156"/>
      <c r="JV28" s="156"/>
      <c r="JW28" s="156"/>
      <c r="JX28" s="156"/>
      <c r="JY28" s="156"/>
      <c r="JZ28" s="156"/>
      <c r="KA28" s="156"/>
      <c r="KB28" s="156"/>
      <c r="KC28" s="156"/>
      <c r="KD28" s="156"/>
      <c r="KE28" s="156"/>
      <c r="KF28" s="156"/>
      <c r="KG28" s="156"/>
      <c r="KH28" s="156"/>
      <c r="KI28" s="156"/>
      <c r="KJ28" s="156"/>
      <c r="KK28" s="156"/>
      <c r="KL28" s="156"/>
      <c r="KM28" s="156"/>
      <c r="KN28" s="156"/>
      <c r="KO28" s="156"/>
      <c r="KP28" s="156"/>
      <c r="KQ28" s="156"/>
      <c r="KR28" s="156"/>
      <c r="KS28" s="156"/>
      <c r="KT28" s="156"/>
      <c r="KU28" s="156"/>
      <c r="KV28" s="156"/>
      <c r="KW28" s="156"/>
      <c r="KX28" s="156"/>
      <c r="KY28" s="156"/>
      <c r="KZ28" s="156"/>
      <c r="LA28" s="156"/>
      <c r="LB28" s="156"/>
      <c r="LC28" s="156"/>
      <c r="LD28" s="156"/>
      <c r="LE28" s="156"/>
      <c r="LF28" s="156"/>
      <c r="LG28" s="156"/>
      <c r="LH28" s="156"/>
      <c r="LI28" s="156"/>
      <c r="LJ28" s="156"/>
      <c r="LK28" s="156"/>
      <c r="LL28" s="156"/>
      <c r="LM28" s="156"/>
      <c r="LN28" s="156"/>
      <c r="LO28" s="156"/>
      <c r="LP28" s="156"/>
      <c r="LQ28" s="156"/>
      <c r="LR28" s="156"/>
      <c r="LS28" s="156"/>
      <c r="LT28" s="156"/>
      <c r="LU28" s="156"/>
      <c r="LV28" s="156"/>
      <c r="LW28" s="156"/>
      <c r="LX28" s="156"/>
      <c r="LY28" s="156"/>
      <c r="LZ28" s="156"/>
      <c r="MA28" s="156"/>
      <c r="MB28" s="156"/>
      <c r="MC28" s="156"/>
      <c r="MD28" s="156"/>
      <c r="ME28" s="156"/>
      <c r="MF28" s="156"/>
      <c r="MG28" s="156"/>
      <c r="MH28" s="156"/>
      <c r="MI28" s="156"/>
      <c r="MJ28" s="156"/>
      <c r="MK28" s="156"/>
      <c r="ML28" s="156"/>
      <c r="MM28" s="156"/>
      <c r="MN28" s="156"/>
      <c r="MO28" s="156"/>
      <c r="MP28" s="156"/>
      <c r="MQ28" s="156"/>
      <c r="MR28" s="156"/>
      <c r="MS28" s="156"/>
      <c r="MT28" s="156"/>
      <c r="MU28" s="156"/>
      <c r="MV28" s="156"/>
      <c r="MW28" s="156"/>
      <c r="MX28" s="156"/>
      <c r="MY28" s="156"/>
      <c r="MZ28" s="156"/>
      <c r="NA28" s="156"/>
      <c r="NB28" s="156"/>
      <c r="NC28" s="156"/>
      <c r="ND28" s="156"/>
      <c r="NE28" s="156"/>
      <c r="NF28" s="156"/>
      <c r="NG28" s="156"/>
      <c r="NH28" s="156"/>
      <c r="NI28" s="156"/>
      <c r="NJ28" s="156"/>
      <c r="NK28" s="156"/>
      <c r="NL28" s="156"/>
      <c r="NM28" s="156"/>
      <c r="NN28" s="156"/>
      <c r="NO28" s="156"/>
      <c r="NP28" s="156"/>
      <c r="NQ28" s="156"/>
      <c r="NR28" s="156"/>
      <c r="NS28" s="156"/>
      <c r="NT28" s="156"/>
      <c r="NU28" s="156"/>
      <c r="NV28" s="156"/>
      <c r="NW28" s="156"/>
      <c r="NX28" s="156"/>
      <c r="NY28" s="156"/>
      <c r="NZ28" s="156"/>
      <c r="OA28" s="156"/>
      <c r="OB28" s="156"/>
      <c r="OC28" s="156"/>
      <c r="OD28" s="156"/>
      <c r="OE28" s="156"/>
      <c r="OF28" s="156"/>
      <c r="OG28" s="156"/>
      <c r="OH28" s="156"/>
      <c r="OI28" s="156"/>
      <c r="OJ28" s="156"/>
      <c r="OK28" s="156"/>
      <c r="OL28" s="156"/>
      <c r="OM28" s="156"/>
      <c r="ON28" s="156"/>
      <c r="OO28" s="156"/>
      <c r="OP28" s="156"/>
      <c r="OQ28" s="156"/>
      <c r="OR28" s="156"/>
      <c r="OS28" s="156"/>
      <c r="OT28" s="156"/>
      <c r="OU28" s="156"/>
      <c r="OV28" s="156"/>
      <c r="OW28" s="156"/>
      <c r="OX28" s="156"/>
      <c r="OY28" s="156"/>
      <c r="OZ28" s="156"/>
      <c r="PA28" s="156"/>
      <c r="PB28" s="156"/>
      <c r="PC28" s="156"/>
      <c r="PD28" s="156"/>
      <c r="PE28" s="156"/>
      <c r="PF28" s="156"/>
      <c r="PG28" s="156"/>
      <c r="PH28" s="156"/>
      <c r="PI28" s="156"/>
      <c r="PJ28" s="156"/>
      <c r="PK28" s="156"/>
      <c r="PL28" s="156"/>
      <c r="PM28" s="156"/>
      <c r="PN28" s="156"/>
      <c r="PO28" s="156"/>
      <c r="PP28" s="156"/>
      <c r="PQ28" s="156"/>
    </row>
    <row r="29" spans="1:433"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  <c r="JA29" s="156"/>
      <c r="JB29" s="156"/>
      <c r="JC29" s="156"/>
      <c r="JD29" s="156"/>
      <c r="JE29" s="156"/>
      <c r="JF29" s="156"/>
      <c r="JG29" s="156"/>
      <c r="JH29" s="156"/>
      <c r="JI29" s="156"/>
      <c r="JJ29" s="156"/>
      <c r="JK29" s="156"/>
      <c r="JL29" s="156"/>
      <c r="JM29" s="156"/>
      <c r="JN29" s="156"/>
      <c r="JO29" s="156"/>
      <c r="JP29" s="156"/>
      <c r="JQ29" s="156"/>
      <c r="JR29" s="156"/>
      <c r="JS29" s="156"/>
      <c r="JT29" s="156"/>
      <c r="JU29" s="156"/>
      <c r="JV29" s="156"/>
      <c r="JW29" s="156"/>
      <c r="JX29" s="156"/>
      <c r="JY29" s="156"/>
      <c r="JZ29" s="156"/>
      <c r="KA29" s="156"/>
      <c r="KB29" s="156"/>
      <c r="KC29" s="156"/>
      <c r="KD29" s="156"/>
      <c r="KE29" s="156"/>
      <c r="KF29" s="156"/>
      <c r="KG29" s="156"/>
      <c r="KH29" s="156"/>
      <c r="KI29" s="156"/>
      <c r="KJ29" s="156"/>
      <c r="KK29" s="156"/>
      <c r="KL29" s="156"/>
      <c r="KM29" s="156"/>
      <c r="KN29" s="156"/>
      <c r="KO29" s="156"/>
      <c r="KP29" s="156"/>
      <c r="KQ29" s="156"/>
      <c r="KR29" s="156"/>
      <c r="KS29" s="156"/>
      <c r="KT29" s="156"/>
      <c r="KU29" s="156"/>
      <c r="KV29" s="156"/>
      <c r="KW29" s="156"/>
      <c r="KX29" s="156"/>
      <c r="KY29" s="156"/>
      <c r="KZ29" s="156"/>
      <c r="LA29" s="156"/>
      <c r="LB29" s="156"/>
      <c r="LC29" s="156"/>
      <c r="LD29" s="156"/>
      <c r="LE29" s="156"/>
      <c r="LF29" s="156"/>
      <c r="LG29" s="156"/>
      <c r="LH29" s="156"/>
      <c r="LI29" s="156"/>
      <c r="LJ29" s="156"/>
      <c r="LK29" s="156"/>
      <c r="LL29" s="156"/>
      <c r="LM29" s="156"/>
      <c r="LN29" s="156"/>
      <c r="LO29" s="156"/>
      <c r="LP29" s="156"/>
      <c r="LQ29" s="156"/>
      <c r="LR29" s="156"/>
      <c r="LS29" s="156"/>
      <c r="LT29" s="156"/>
      <c r="LU29" s="156"/>
      <c r="LV29" s="156"/>
      <c r="LW29" s="156"/>
      <c r="LX29" s="156"/>
      <c r="LY29" s="156"/>
      <c r="LZ29" s="156"/>
      <c r="MA29" s="156"/>
      <c r="MB29" s="156"/>
      <c r="MC29" s="156"/>
      <c r="MD29" s="156"/>
      <c r="ME29" s="156"/>
      <c r="MF29" s="156"/>
      <c r="MG29" s="156"/>
      <c r="MH29" s="156"/>
      <c r="MI29" s="156"/>
      <c r="MJ29" s="156"/>
      <c r="MK29" s="156"/>
      <c r="ML29" s="156"/>
      <c r="MM29" s="156"/>
      <c r="MN29" s="156"/>
      <c r="MO29" s="156"/>
      <c r="MP29" s="156"/>
      <c r="MQ29" s="156"/>
      <c r="MR29" s="156"/>
      <c r="MS29" s="156"/>
      <c r="MT29" s="156"/>
      <c r="MU29" s="156"/>
      <c r="MV29" s="156"/>
      <c r="MW29" s="156"/>
      <c r="MX29" s="156"/>
      <c r="MY29" s="156"/>
      <c r="MZ29" s="156"/>
      <c r="NA29" s="156"/>
      <c r="NB29" s="156"/>
      <c r="NC29" s="156"/>
      <c r="ND29" s="156"/>
      <c r="NE29" s="156"/>
      <c r="NF29" s="156"/>
      <c r="NG29" s="156"/>
      <c r="NH29" s="156"/>
      <c r="NI29" s="156"/>
      <c r="NJ29" s="156"/>
      <c r="NK29" s="156"/>
      <c r="NL29" s="156"/>
      <c r="NM29" s="156"/>
      <c r="NN29" s="156"/>
      <c r="NO29" s="156"/>
      <c r="NP29" s="156"/>
      <c r="NQ29" s="156"/>
      <c r="NR29" s="156"/>
      <c r="NS29" s="156"/>
      <c r="NT29" s="156"/>
      <c r="NU29" s="156"/>
      <c r="NV29" s="156"/>
      <c r="NW29" s="156"/>
      <c r="NX29" s="156"/>
      <c r="NY29" s="156"/>
      <c r="NZ29" s="156"/>
      <c r="OA29" s="156"/>
      <c r="OB29" s="156"/>
      <c r="OC29" s="156"/>
      <c r="OD29" s="156"/>
      <c r="OE29" s="156"/>
      <c r="OF29" s="156"/>
      <c r="OG29" s="156"/>
      <c r="OH29" s="156"/>
      <c r="OI29" s="156"/>
      <c r="OJ29" s="156"/>
      <c r="OK29" s="156"/>
      <c r="OL29" s="156"/>
      <c r="OM29" s="156"/>
      <c r="ON29" s="156"/>
      <c r="OO29" s="156"/>
      <c r="OP29" s="156"/>
      <c r="OQ29" s="156"/>
      <c r="OR29" s="156"/>
      <c r="OS29" s="156"/>
      <c r="OT29" s="156"/>
      <c r="OU29" s="156"/>
      <c r="OV29" s="156"/>
      <c r="OW29" s="156"/>
      <c r="OX29" s="156"/>
      <c r="OY29" s="156"/>
      <c r="OZ29" s="156"/>
      <c r="PA29" s="156"/>
      <c r="PB29" s="156"/>
      <c r="PC29" s="156"/>
      <c r="PD29" s="156"/>
      <c r="PE29" s="156"/>
      <c r="PF29" s="156"/>
      <c r="PG29" s="156"/>
      <c r="PH29" s="156"/>
      <c r="PI29" s="156"/>
      <c r="PJ29" s="156"/>
      <c r="PK29" s="156"/>
      <c r="PL29" s="156"/>
      <c r="PM29" s="156"/>
      <c r="PN29" s="156"/>
      <c r="PO29" s="156"/>
      <c r="PP29" s="156"/>
      <c r="PQ29" s="156"/>
    </row>
    <row r="30" spans="1:433"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  <c r="JA30" s="156"/>
      <c r="JB30" s="156"/>
      <c r="JC30" s="156"/>
      <c r="JD30" s="156"/>
      <c r="JE30" s="156"/>
      <c r="JF30" s="156"/>
      <c r="JG30" s="156"/>
      <c r="JH30" s="156"/>
      <c r="JI30" s="156"/>
      <c r="JJ30" s="156"/>
      <c r="JK30" s="156"/>
      <c r="JL30" s="156"/>
      <c r="JM30" s="156"/>
      <c r="JN30" s="156"/>
      <c r="JO30" s="156"/>
      <c r="JP30" s="156"/>
      <c r="JQ30" s="156"/>
      <c r="JR30" s="156"/>
      <c r="JS30" s="156"/>
      <c r="JT30" s="156"/>
      <c r="JU30" s="156"/>
      <c r="JV30" s="156"/>
      <c r="JW30" s="156"/>
      <c r="JX30" s="156"/>
      <c r="JY30" s="156"/>
      <c r="JZ30" s="156"/>
      <c r="KA30" s="156"/>
      <c r="KB30" s="156"/>
      <c r="KC30" s="156"/>
      <c r="KD30" s="156"/>
      <c r="KE30" s="156"/>
      <c r="KF30" s="156"/>
      <c r="KG30" s="156"/>
      <c r="KH30" s="156"/>
      <c r="KI30" s="156"/>
      <c r="KJ30" s="156"/>
      <c r="KK30" s="156"/>
      <c r="KL30" s="156"/>
      <c r="KM30" s="156"/>
      <c r="KN30" s="156"/>
      <c r="KO30" s="156"/>
      <c r="KP30" s="156"/>
      <c r="KQ30" s="156"/>
      <c r="KR30" s="156"/>
      <c r="KS30" s="156"/>
      <c r="KT30" s="156"/>
      <c r="KU30" s="156"/>
      <c r="KV30" s="156"/>
      <c r="KW30" s="156"/>
      <c r="KX30" s="156"/>
      <c r="KY30" s="156"/>
      <c r="KZ30" s="156"/>
      <c r="LA30" s="156"/>
      <c r="LB30" s="156"/>
      <c r="LC30" s="156"/>
      <c r="LD30" s="156"/>
      <c r="LE30" s="156"/>
      <c r="LF30" s="156"/>
      <c r="LG30" s="156"/>
      <c r="LH30" s="156"/>
      <c r="LI30" s="156"/>
      <c r="LJ30" s="156"/>
      <c r="LK30" s="156"/>
      <c r="LL30" s="156"/>
      <c r="LM30" s="156"/>
      <c r="LN30" s="156"/>
      <c r="LO30" s="156"/>
      <c r="LP30" s="156"/>
      <c r="LQ30" s="156"/>
      <c r="LR30" s="156"/>
      <c r="LS30" s="156"/>
      <c r="LT30" s="156"/>
      <c r="LU30" s="156"/>
      <c r="LV30" s="156"/>
      <c r="LW30" s="156"/>
      <c r="LX30" s="156"/>
      <c r="LY30" s="156"/>
      <c r="LZ30" s="156"/>
      <c r="MA30" s="156"/>
      <c r="MB30" s="156"/>
      <c r="MC30" s="156"/>
      <c r="MD30" s="156"/>
      <c r="ME30" s="156"/>
      <c r="MF30" s="156"/>
      <c r="MG30" s="156"/>
      <c r="MH30" s="156"/>
      <c r="MI30" s="156"/>
      <c r="MJ30" s="156"/>
      <c r="MK30" s="156"/>
      <c r="ML30" s="156"/>
      <c r="MM30" s="156"/>
      <c r="MN30" s="156"/>
      <c r="MO30" s="156"/>
      <c r="MP30" s="156"/>
      <c r="MQ30" s="156"/>
      <c r="MR30" s="156"/>
      <c r="MS30" s="156"/>
      <c r="MT30" s="156"/>
      <c r="MU30" s="156"/>
      <c r="MV30" s="156"/>
      <c r="MW30" s="156"/>
      <c r="MX30" s="156"/>
      <c r="MY30" s="156"/>
      <c r="MZ30" s="156"/>
      <c r="NA30" s="156"/>
      <c r="NB30" s="156"/>
      <c r="NC30" s="156"/>
      <c r="ND30" s="156"/>
      <c r="NE30" s="156"/>
      <c r="NF30" s="156"/>
      <c r="NG30" s="156"/>
      <c r="NH30" s="156"/>
      <c r="NI30" s="156"/>
      <c r="NJ30" s="156"/>
      <c r="NK30" s="156"/>
      <c r="NL30" s="156"/>
      <c r="NM30" s="156"/>
      <c r="NN30" s="156"/>
      <c r="NO30" s="156"/>
      <c r="NP30" s="156"/>
      <c r="NQ30" s="156"/>
      <c r="NR30" s="156"/>
      <c r="NS30" s="156"/>
      <c r="NT30" s="156"/>
      <c r="NU30" s="156"/>
      <c r="NV30" s="156"/>
      <c r="NW30" s="156"/>
      <c r="NX30" s="156"/>
      <c r="NY30" s="156"/>
      <c r="NZ30" s="156"/>
      <c r="OA30" s="156"/>
      <c r="OB30" s="156"/>
      <c r="OC30" s="156"/>
      <c r="OD30" s="156"/>
      <c r="OE30" s="156"/>
      <c r="OF30" s="156"/>
      <c r="OG30" s="156"/>
      <c r="OH30" s="156"/>
      <c r="OI30" s="156"/>
      <c r="OJ30" s="156"/>
      <c r="OK30" s="156"/>
      <c r="OL30" s="156"/>
      <c r="OM30" s="156"/>
      <c r="ON30" s="156"/>
      <c r="OO30" s="156"/>
      <c r="OP30" s="156"/>
      <c r="OQ30" s="156"/>
      <c r="OR30" s="156"/>
      <c r="OS30" s="156"/>
      <c r="OT30" s="156"/>
      <c r="OU30" s="156"/>
      <c r="OV30" s="156"/>
      <c r="OW30" s="156"/>
      <c r="OX30" s="156"/>
      <c r="OY30" s="156"/>
      <c r="OZ30" s="156"/>
      <c r="PA30" s="156"/>
      <c r="PB30" s="156"/>
      <c r="PC30" s="156"/>
      <c r="PD30" s="156"/>
      <c r="PE30" s="156"/>
      <c r="PF30" s="156"/>
      <c r="PG30" s="156"/>
      <c r="PH30" s="156"/>
      <c r="PI30" s="156"/>
      <c r="PJ30" s="156"/>
      <c r="PK30" s="156"/>
      <c r="PL30" s="156"/>
      <c r="PM30" s="156"/>
      <c r="PN30" s="156"/>
      <c r="PO30" s="156"/>
      <c r="PP30" s="156"/>
      <c r="PQ30" s="156"/>
    </row>
    <row r="31" spans="1:433"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  <c r="JA31" s="156"/>
      <c r="JB31" s="156"/>
      <c r="JC31" s="156"/>
      <c r="JD31" s="156"/>
      <c r="JE31" s="156"/>
      <c r="JF31" s="156"/>
      <c r="JG31" s="156"/>
      <c r="JH31" s="156"/>
      <c r="JI31" s="156"/>
      <c r="JJ31" s="156"/>
      <c r="JK31" s="156"/>
      <c r="JL31" s="156"/>
      <c r="JM31" s="156"/>
      <c r="JN31" s="156"/>
      <c r="JO31" s="156"/>
      <c r="JP31" s="156"/>
      <c r="JQ31" s="156"/>
      <c r="JR31" s="156"/>
      <c r="JS31" s="156"/>
      <c r="JT31" s="156"/>
      <c r="JU31" s="156"/>
      <c r="JV31" s="156"/>
      <c r="JW31" s="156"/>
      <c r="JX31" s="156"/>
      <c r="JY31" s="156"/>
      <c r="JZ31" s="156"/>
      <c r="KA31" s="156"/>
      <c r="KB31" s="156"/>
      <c r="KC31" s="156"/>
      <c r="KD31" s="156"/>
      <c r="KE31" s="156"/>
      <c r="KF31" s="156"/>
      <c r="KG31" s="156"/>
      <c r="KH31" s="156"/>
      <c r="KI31" s="156"/>
      <c r="KJ31" s="156"/>
      <c r="KK31" s="156"/>
      <c r="KL31" s="156"/>
      <c r="KM31" s="156"/>
      <c r="KN31" s="156"/>
      <c r="KO31" s="156"/>
      <c r="KP31" s="156"/>
      <c r="KQ31" s="156"/>
      <c r="KR31" s="156"/>
      <c r="KS31" s="156"/>
      <c r="KT31" s="156"/>
      <c r="KU31" s="156"/>
      <c r="KV31" s="156"/>
      <c r="KW31" s="156"/>
      <c r="KX31" s="156"/>
      <c r="KY31" s="156"/>
      <c r="KZ31" s="156"/>
      <c r="LA31" s="156"/>
      <c r="LB31" s="156"/>
      <c r="LC31" s="156"/>
      <c r="LD31" s="156"/>
      <c r="LE31" s="156"/>
      <c r="LF31" s="156"/>
      <c r="LG31" s="156"/>
      <c r="LH31" s="156"/>
      <c r="LI31" s="156"/>
      <c r="LJ31" s="156"/>
      <c r="LK31" s="156"/>
      <c r="LL31" s="156"/>
      <c r="LM31" s="156"/>
      <c r="LN31" s="156"/>
      <c r="LO31" s="156"/>
      <c r="LP31" s="156"/>
      <c r="LQ31" s="156"/>
      <c r="LR31" s="156"/>
      <c r="LS31" s="156"/>
      <c r="LT31" s="156"/>
      <c r="LU31" s="156"/>
      <c r="LV31" s="156"/>
      <c r="LW31" s="156"/>
      <c r="LX31" s="156"/>
      <c r="LY31" s="156"/>
      <c r="LZ31" s="156"/>
      <c r="MA31" s="156"/>
      <c r="MB31" s="156"/>
      <c r="MC31" s="156"/>
      <c r="MD31" s="156"/>
      <c r="ME31" s="156"/>
      <c r="MF31" s="156"/>
      <c r="MG31" s="156"/>
      <c r="MH31" s="156"/>
      <c r="MI31" s="156"/>
      <c r="MJ31" s="156"/>
      <c r="MK31" s="156"/>
      <c r="ML31" s="156"/>
      <c r="MM31" s="156"/>
      <c r="MN31" s="156"/>
      <c r="MO31" s="156"/>
      <c r="MP31" s="156"/>
      <c r="MQ31" s="156"/>
      <c r="MR31" s="156"/>
      <c r="MS31" s="156"/>
      <c r="MT31" s="156"/>
      <c r="MU31" s="156"/>
      <c r="MV31" s="156"/>
      <c r="MW31" s="156"/>
      <c r="MX31" s="156"/>
      <c r="MY31" s="156"/>
      <c r="MZ31" s="156"/>
      <c r="NA31" s="156"/>
      <c r="NB31" s="156"/>
      <c r="NC31" s="156"/>
      <c r="ND31" s="156"/>
      <c r="NE31" s="156"/>
      <c r="NF31" s="156"/>
      <c r="NG31" s="156"/>
      <c r="NH31" s="156"/>
      <c r="NI31" s="156"/>
      <c r="NJ31" s="156"/>
      <c r="NK31" s="156"/>
      <c r="NL31" s="156"/>
      <c r="NM31" s="156"/>
      <c r="NN31" s="156"/>
      <c r="NO31" s="156"/>
      <c r="NP31" s="156"/>
      <c r="NQ31" s="156"/>
      <c r="NR31" s="156"/>
      <c r="NS31" s="156"/>
      <c r="NT31" s="156"/>
      <c r="NU31" s="156"/>
      <c r="NV31" s="156"/>
      <c r="NW31" s="156"/>
      <c r="NX31" s="156"/>
      <c r="NY31" s="156"/>
      <c r="NZ31" s="156"/>
      <c r="OA31" s="156"/>
      <c r="OB31" s="156"/>
      <c r="OC31" s="156"/>
      <c r="OD31" s="156"/>
      <c r="OE31" s="156"/>
      <c r="OF31" s="156"/>
      <c r="OG31" s="156"/>
      <c r="OH31" s="156"/>
      <c r="OI31" s="156"/>
      <c r="OJ31" s="156"/>
      <c r="OK31" s="156"/>
      <c r="OL31" s="156"/>
      <c r="OM31" s="156"/>
      <c r="ON31" s="156"/>
      <c r="OO31" s="156"/>
      <c r="OP31" s="156"/>
      <c r="OQ31" s="156"/>
      <c r="OR31" s="156"/>
      <c r="OS31" s="156"/>
      <c r="OT31" s="156"/>
      <c r="OU31" s="156"/>
      <c r="OV31" s="156"/>
      <c r="OW31" s="156"/>
      <c r="OX31" s="156"/>
      <c r="OY31" s="156"/>
      <c r="OZ31" s="156"/>
      <c r="PA31" s="156"/>
      <c r="PB31" s="156"/>
      <c r="PC31" s="156"/>
      <c r="PD31" s="156"/>
      <c r="PE31" s="156"/>
      <c r="PF31" s="156"/>
      <c r="PG31" s="156"/>
      <c r="PH31" s="156"/>
      <c r="PI31" s="156"/>
      <c r="PJ31" s="156"/>
      <c r="PK31" s="156"/>
      <c r="PL31" s="156"/>
      <c r="PM31" s="156"/>
      <c r="PN31" s="156"/>
      <c r="PO31" s="156"/>
      <c r="PP31" s="156"/>
      <c r="PQ31" s="156"/>
    </row>
  </sheetData>
  <customSheetViews>
    <customSheetView guid="{786DE933-524F-40D1-8033-C008687087FC}">
      <pageMargins left="0.7" right="0.7" top="0.75" bottom="0.75" header="0.3" footer="0.3"/>
      <pageSetup paperSize="9" orientation="portrait" r:id="rId1"/>
    </customSheetView>
    <customSheetView guid="{627AEB6E-B9F1-415E-9A60-881757A50C67}">
      <selection activeCell="J11" sqref="J11"/>
      <pageMargins left="0.7" right="0.7" top="0.75" bottom="0.75" header="0.3" footer="0.3"/>
      <pageSetup paperSize="9" orientation="portrait" r:id="rId2"/>
    </customSheetView>
    <customSheetView guid="{874BA5F8-BD95-4DDF-8F31-98DB154CA965}">
      <selection activeCell="C9" sqref="C9"/>
      <pageMargins left="0.7" right="0.7" top="0.75" bottom="0.75" header="0.3" footer="0.3"/>
    </customSheetView>
    <customSheetView guid="{AAA495E0-27FD-4941-85B8-9038B6AD4FA3}">
      <selection activeCell="C9" sqref="C9"/>
      <pageMargins left="0.7" right="0.7" top="0.75" bottom="0.75" header="0.3" footer="0.3"/>
    </customSheetView>
    <customSheetView guid="{77EFF5B1-32BE-4080-9902-B97F43099026}">
      <pageMargins left="0.7" right="0.7" top="0.75" bottom="0.75" header="0.3" footer="0.3"/>
      <pageSetup paperSize="9" orientation="portrait" r:id="rId3"/>
    </customSheetView>
  </customSheetViews>
  <pageMargins left="0.70866141732283472" right="0.70866141732283472" top="0.74803149606299213" bottom="0.74803149606299213" header="0.31496062992125984" footer="0.31496062992125984"/>
  <pageSetup paperSize="9" scale="21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theme="4" tint="0.59999389629810485"/>
    <pageSetUpPr fitToPage="1"/>
  </sheetPr>
  <dimension ref="A1:L42"/>
  <sheetViews>
    <sheetView workbookViewId="0">
      <selection activeCell="C2" sqref="C2"/>
    </sheetView>
  </sheetViews>
  <sheetFormatPr defaultColWidth="9.1796875" defaultRowHeight="14.5"/>
  <cols>
    <col min="1" max="1" width="102.81640625" style="413" customWidth="1"/>
    <col min="2" max="2" width="14.81640625" style="413" customWidth="1"/>
    <col min="3" max="3" width="23.54296875" style="413" customWidth="1"/>
    <col min="4" max="4" width="25.1796875" style="413" customWidth="1"/>
    <col min="5" max="5" width="9.1796875" style="413"/>
    <col min="6" max="6" width="13" style="10" customWidth="1"/>
    <col min="7" max="10" width="9.1796875" style="10"/>
    <col min="11" max="16384" width="9.1796875" style="413"/>
  </cols>
  <sheetData>
    <row r="1" spans="1:12" ht="20">
      <c r="A1" s="412" t="s">
        <v>254</v>
      </c>
      <c r="B1" s="103"/>
      <c r="C1" s="103"/>
      <c r="D1" s="103"/>
    </row>
    <row r="2" spans="1:12" ht="76.5">
      <c r="A2" s="78" t="s">
        <v>654</v>
      </c>
      <c r="B2" s="72" t="s">
        <v>202</v>
      </c>
      <c r="C2" s="67" t="s">
        <v>1005</v>
      </c>
      <c r="D2" s="67" t="s">
        <v>1013</v>
      </c>
    </row>
    <row r="3" spans="1:12">
      <c r="A3" s="414" t="s">
        <v>255</v>
      </c>
      <c r="B3" s="416"/>
      <c r="C3" s="415"/>
      <c r="D3" s="416"/>
    </row>
    <row r="4" spans="1:12">
      <c r="A4" s="125" t="s">
        <v>841</v>
      </c>
      <c r="B4" s="453"/>
      <c r="C4" s="417">
        <v>2105</v>
      </c>
      <c r="D4" s="418">
        <v>2497</v>
      </c>
      <c r="K4" s="585"/>
      <c r="L4" s="585"/>
    </row>
    <row r="5" spans="1:12">
      <c r="A5" s="122" t="s">
        <v>256</v>
      </c>
      <c r="B5" s="453"/>
      <c r="C5" s="419">
        <v>-38</v>
      </c>
      <c r="D5" s="420">
        <v>-22</v>
      </c>
      <c r="K5" s="585"/>
      <c r="L5" s="585"/>
    </row>
    <row r="6" spans="1:12">
      <c r="A6" s="122" t="s">
        <v>257</v>
      </c>
      <c r="B6" s="453"/>
      <c r="C6" s="419">
        <v>1351</v>
      </c>
      <c r="D6" s="420">
        <v>1270</v>
      </c>
      <c r="K6" s="585"/>
      <c r="L6" s="585"/>
    </row>
    <row r="7" spans="1:12">
      <c r="A7" s="122" t="s">
        <v>1014</v>
      </c>
      <c r="B7" s="453"/>
      <c r="C7" s="408">
        <v>0</v>
      </c>
      <c r="D7" s="420">
        <v>-1</v>
      </c>
      <c r="K7" s="585"/>
      <c r="L7" s="585"/>
    </row>
    <row r="8" spans="1:12">
      <c r="A8" s="122" t="s">
        <v>655</v>
      </c>
      <c r="B8" s="588"/>
      <c r="C8" s="419">
        <v>-73</v>
      </c>
      <c r="D8" s="420">
        <v>-33</v>
      </c>
      <c r="K8" s="585"/>
      <c r="L8" s="585"/>
    </row>
    <row r="9" spans="1:12">
      <c r="A9" s="123" t="s">
        <v>258</v>
      </c>
      <c r="B9" s="588"/>
      <c r="C9" s="419">
        <v>40</v>
      </c>
      <c r="D9" s="420">
        <v>-20</v>
      </c>
      <c r="K9" s="585"/>
      <c r="L9" s="585"/>
    </row>
    <row r="10" spans="1:12">
      <c r="A10" s="123" t="s">
        <v>259</v>
      </c>
      <c r="B10" s="588"/>
      <c r="C10" s="421">
        <v>275</v>
      </c>
      <c r="D10" s="401">
        <v>345</v>
      </c>
      <c r="K10" s="585"/>
      <c r="L10" s="585"/>
    </row>
    <row r="11" spans="1:12">
      <c r="A11" s="123" t="s">
        <v>806</v>
      </c>
      <c r="B11" s="588"/>
      <c r="C11" s="419">
        <v>-30</v>
      </c>
      <c r="D11" s="420">
        <v>-70</v>
      </c>
      <c r="K11" s="585"/>
      <c r="L11" s="585"/>
    </row>
    <row r="12" spans="1:12">
      <c r="A12" s="123" t="s">
        <v>260</v>
      </c>
      <c r="B12" s="588"/>
      <c r="C12" s="419">
        <v>4</v>
      </c>
      <c r="D12" s="420">
        <v>6</v>
      </c>
      <c r="K12" s="585"/>
      <c r="L12" s="585"/>
    </row>
    <row r="13" spans="1:12">
      <c r="A13" s="123" t="s">
        <v>261</v>
      </c>
      <c r="B13" s="657" t="s">
        <v>995</v>
      </c>
      <c r="C13" s="419">
        <v>1702</v>
      </c>
      <c r="D13" s="622">
        <v>-868</v>
      </c>
      <c r="K13" s="585"/>
      <c r="L13" s="585"/>
    </row>
    <row r="14" spans="1:12">
      <c r="A14" s="123" t="s">
        <v>262</v>
      </c>
      <c r="B14" s="657" t="s">
        <v>995</v>
      </c>
      <c r="C14" s="419">
        <v>-569</v>
      </c>
      <c r="D14" s="420">
        <v>-157</v>
      </c>
      <c r="K14" s="585"/>
      <c r="L14" s="585"/>
    </row>
    <row r="15" spans="1:12" ht="39" customHeight="1">
      <c r="A15" s="256" t="s">
        <v>263</v>
      </c>
      <c r="B15" s="440"/>
      <c r="C15" s="422">
        <v>4767</v>
      </c>
      <c r="D15" s="422">
        <v>2947</v>
      </c>
      <c r="K15" s="585"/>
      <c r="L15" s="585"/>
    </row>
    <row r="16" spans="1:12">
      <c r="A16" s="75" t="s">
        <v>264</v>
      </c>
      <c r="B16" s="453"/>
      <c r="C16" s="452"/>
      <c r="D16" s="420"/>
      <c r="K16" s="585"/>
      <c r="L16" s="585"/>
    </row>
    <row r="17" spans="1:12" ht="25">
      <c r="A17" s="403" t="s">
        <v>848</v>
      </c>
      <c r="B17" s="588" t="s">
        <v>996</v>
      </c>
      <c r="C17" s="408">
        <v>-2743</v>
      </c>
      <c r="D17" s="420">
        <v>-2688</v>
      </c>
      <c r="K17" s="585"/>
      <c r="L17" s="585"/>
    </row>
    <row r="18" spans="1:12">
      <c r="A18" s="403" t="s">
        <v>1015</v>
      </c>
      <c r="B18" s="588"/>
      <c r="C18" s="408">
        <v>0</v>
      </c>
      <c r="D18" s="420">
        <v>-2</v>
      </c>
      <c r="K18" s="585"/>
      <c r="L18" s="585"/>
    </row>
    <row r="19" spans="1:12">
      <c r="A19" s="248" t="s">
        <v>265</v>
      </c>
      <c r="B19" s="269"/>
      <c r="C19" s="423">
        <v>-2743</v>
      </c>
      <c r="D19" s="418">
        <v>-2690</v>
      </c>
      <c r="K19" s="585"/>
      <c r="L19" s="585"/>
    </row>
    <row r="20" spans="1:12">
      <c r="A20" s="669" t="s">
        <v>922</v>
      </c>
      <c r="B20" s="269"/>
      <c r="C20" s="419">
        <v>123</v>
      </c>
      <c r="D20" s="420">
        <v>59</v>
      </c>
      <c r="K20" s="585"/>
      <c r="L20" s="585"/>
    </row>
    <row r="21" spans="1:12" ht="25">
      <c r="A21" s="403" t="s">
        <v>390</v>
      </c>
      <c r="B21" s="269"/>
      <c r="C21" s="419">
        <v>11</v>
      </c>
      <c r="D21" s="420">
        <v>7</v>
      </c>
      <c r="K21" s="585"/>
      <c r="L21" s="585"/>
    </row>
    <row r="22" spans="1:12">
      <c r="A22" s="403" t="s">
        <v>1016</v>
      </c>
      <c r="B22" s="269"/>
      <c r="C22" s="419">
        <v>1</v>
      </c>
      <c r="D22" s="420">
        <v>0</v>
      </c>
      <c r="K22" s="585"/>
      <c r="L22" s="585"/>
    </row>
    <row r="23" spans="1:12">
      <c r="A23" s="248" t="s">
        <v>266</v>
      </c>
      <c r="B23" s="269"/>
      <c r="C23" s="423">
        <v>135</v>
      </c>
      <c r="D23" s="418">
        <v>66</v>
      </c>
      <c r="K23" s="585"/>
      <c r="L23" s="585"/>
    </row>
    <row r="24" spans="1:12" ht="37.5" customHeight="1">
      <c r="A24" s="256" t="s">
        <v>267</v>
      </c>
      <c r="B24" s="454"/>
      <c r="C24" s="422">
        <v>-2608</v>
      </c>
      <c r="D24" s="422">
        <v>-2624</v>
      </c>
      <c r="K24" s="585"/>
      <c r="L24" s="585"/>
    </row>
    <row r="25" spans="1:12">
      <c r="A25" s="75" t="s">
        <v>268</v>
      </c>
      <c r="B25" s="453"/>
      <c r="C25" s="421"/>
      <c r="D25" s="401"/>
      <c r="K25" s="585"/>
      <c r="L25" s="585"/>
    </row>
    <row r="26" spans="1:12">
      <c r="A26" s="266" t="s">
        <v>963</v>
      </c>
      <c r="B26" s="725" t="s">
        <v>997</v>
      </c>
      <c r="C26" s="419">
        <v>-400</v>
      </c>
      <c r="D26" s="622">
        <v>0</v>
      </c>
      <c r="K26" s="585"/>
      <c r="L26" s="585"/>
    </row>
    <row r="27" spans="1:12">
      <c r="A27" s="403" t="s">
        <v>644</v>
      </c>
      <c r="B27" s="725" t="s">
        <v>997</v>
      </c>
      <c r="C27" s="419">
        <v>-128</v>
      </c>
      <c r="D27" s="420">
        <v>-2876</v>
      </c>
      <c r="K27" s="585"/>
      <c r="L27" s="585"/>
    </row>
    <row r="28" spans="1:12">
      <c r="A28" s="403" t="s">
        <v>269</v>
      </c>
      <c r="B28" s="725" t="s">
        <v>997</v>
      </c>
      <c r="C28" s="419">
        <v>-172</v>
      </c>
      <c r="D28" s="420">
        <v>-223</v>
      </c>
      <c r="K28" s="585"/>
      <c r="L28" s="585"/>
    </row>
    <row r="29" spans="1:12">
      <c r="A29" s="403" t="s">
        <v>559</v>
      </c>
      <c r="B29" s="453"/>
      <c r="C29" s="419">
        <v>-116</v>
      </c>
      <c r="D29" s="420">
        <v>-106</v>
      </c>
      <c r="K29" s="585"/>
      <c r="L29" s="585"/>
    </row>
    <row r="30" spans="1:12">
      <c r="A30" s="403" t="s">
        <v>1017</v>
      </c>
      <c r="B30" s="453"/>
      <c r="C30" s="408">
        <v>0</v>
      </c>
      <c r="D30" s="420">
        <v>-37</v>
      </c>
      <c r="K30" s="585"/>
      <c r="L30" s="585"/>
    </row>
    <row r="31" spans="1:12">
      <c r="A31" s="403" t="s">
        <v>270</v>
      </c>
      <c r="B31" s="404"/>
      <c r="C31" s="419">
        <v>-11</v>
      </c>
      <c r="D31" s="420">
        <v>-10</v>
      </c>
      <c r="K31" s="585"/>
      <c r="L31" s="585"/>
    </row>
    <row r="32" spans="1:12">
      <c r="A32" s="248" t="s">
        <v>265</v>
      </c>
      <c r="B32" s="404"/>
      <c r="C32" s="423">
        <v>-827</v>
      </c>
      <c r="D32" s="418">
        <v>-3252</v>
      </c>
      <c r="K32" s="585"/>
      <c r="L32" s="585"/>
    </row>
    <row r="33" spans="1:12">
      <c r="A33" s="403" t="s">
        <v>744</v>
      </c>
      <c r="B33" s="725" t="s">
        <v>997</v>
      </c>
      <c r="C33" s="419">
        <v>978</v>
      </c>
      <c r="D33" s="420">
        <v>2521</v>
      </c>
      <c r="K33" s="585"/>
      <c r="L33" s="585"/>
    </row>
    <row r="34" spans="1:12">
      <c r="A34" s="403" t="s">
        <v>923</v>
      </c>
      <c r="B34" s="404"/>
      <c r="C34" s="419">
        <v>27</v>
      </c>
      <c r="D34" s="622">
        <v>65</v>
      </c>
      <c r="K34" s="585"/>
      <c r="L34" s="585"/>
    </row>
    <row r="35" spans="1:12">
      <c r="A35" s="249" t="s">
        <v>266</v>
      </c>
      <c r="B35" s="455"/>
      <c r="C35" s="424">
        <v>1005</v>
      </c>
      <c r="D35" s="425">
        <v>2586</v>
      </c>
      <c r="K35" s="585"/>
      <c r="L35" s="585"/>
    </row>
    <row r="36" spans="1:12" ht="29.25" customHeight="1">
      <c r="A36" s="254" t="s">
        <v>271</v>
      </c>
      <c r="B36" s="456"/>
      <c r="C36" s="422">
        <v>178</v>
      </c>
      <c r="D36" s="422">
        <v>-666</v>
      </c>
      <c r="K36" s="585"/>
      <c r="L36" s="585"/>
    </row>
    <row r="37" spans="1:12" ht="37.5" customHeight="1">
      <c r="A37" s="255" t="s">
        <v>272</v>
      </c>
      <c r="B37" s="454"/>
      <c r="C37" s="422">
        <v>2337</v>
      </c>
      <c r="D37" s="422">
        <v>-343</v>
      </c>
      <c r="K37" s="585"/>
      <c r="L37" s="585"/>
    </row>
    <row r="38" spans="1:12">
      <c r="A38" s="245" t="s">
        <v>273</v>
      </c>
      <c r="B38" s="453"/>
      <c r="C38" s="408">
        <v>0</v>
      </c>
      <c r="D38" s="622">
        <v>-1</v>
      </c>
      <c r="K38" s="585"/>
      <c r="L38" s="585"/>
    </row>
    <row r="39" spans="1:12">
      <c r="A39" s="246" t="s">
        <v>274</v>
      </c>
      <c r="B39" s="516">
        <v>30</v>
      </c>
      <c r="C39" s="426">
        <v>320</v>
      </c>
      <c r="D39" s="427">
        <v>557</v>
      </c>
      <c r="K39" s="585"/>
      <c r="L39" s="585"/>
    </row>
    <row r="40" spans="1:12">
      <c r="A40" s="246" t="s">
        <v>275</v>
      </c>
      <c r="B40" s="517">
        <v>30</v>
      </c>
      <c r="C40" s="426">
        <v>2657</v>
      </c>
      <c r="D40" s="427">
        <v>214</v>
      </c>
      <c r="K40" s="585"/>
      <c r="L40" s="585"/>
    </row>
    <row r="41" spans="1:12">
      <c r="A41" s="457" t="s">
        <v>276</v>
      </c>
      <c r="B41" s="518">
        <v>30</v>
      </c>
      <c r="C41" s="428">
        <v>295</v>
      </c>
      <c r="D41" s="429">
        <v>203</v>
      </c>
      <c r="K41" s="585"/>
      <c r="L41" s="585"/>
    </row>
    <row r="42" spans="1:12">
      <c r="K42" s="585"/>
    </row>
  </sheetData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tabColor rgb="FF002060"/>
    <pageSetUpPr fitToPage="1"/>
  </sheetPr>
  <dimension ref="A1:AA177"/>
  <sheetViews>
    <sheetView workbookViewId="0">
      <pane xSplit="2" ySplit="4" topLeftCell="Q150" activePane="bottomRight" state="frozen"/>
      <selection pane="topRight" activeCell="C1" sqref="C1"/>
      <selection pane="bottomLeft" activeCell="A5" sqref="A5"/>
      <selection pane="bottomRight" activeCell="X160" sqref="X160:X161"/>
    </sheetView>
  </sheetViews>
  <sheetFormatPr defaultColWidth="12.453125" defaultRowHeight="14.5"/>
  <cols>
    <col min="1" max="1" width="101.1796875" style="109" customWidth="1"/>
    <col min="2" max="2" width="3.1796875" style="527" customWidth="1"/>
    <col min="3" max="5" width="12.453125" style="109"/>
    <col min="6" max="6" width="17.1796875" style="109" customWidth="1"/>
    <col min="7" max="7" width="15.81640625" style="109" customWidth="1"/>
    <col min="8" max="8" width="17.1796875" style="109" customWidth="1"/>
    <col min="9" max="9" width="14.1796875" style="109" customWidth="1"/>
    <col min="10" max="10" width="16.1796875" style="109" customWidth="1"/>
    <col min="11" max="11" width="14.1796875" style="109" customWidth="1"/>
    <col min="12" max="13" width="14.1796875" style="10" customWidth="1"/>
    <col min="14" max="14" width="17" style="10" customWidth="1"/>
    <col min="15" max="16" width="12.453125" style="10"/>
    <col min="17" max="20" width="12.453125" style="109" customWidth="1"/>
    <col min="21" max="16384" width="12.453125" style="109"/>
  </cols>
  <sheetData>
    <row r="1" spans="1:27" ht="17.5">
      <c r="A1" s="395" t="s">
        <v>373</v>
      </c>
    </row>
    <row r="2" spans="1:27" s="390" customFormat="1" ht="15" customHeight="1">
      <c r="A2" s="396" t="s">
        <v>374</v>
      </c>
      <c r="B2" s="528"/>
      <c r="C2" s="528" t="s">
        <v>657</v>
      </c>
      <c r="D2" s="528"/>
      <c r="E2" s="577"/>
      <c r="F2" s="110"/>
    </row>
    <row r="3" spans="1:27" ht="91.5" customHeight="1">
      <c r="A3" s="89" t="s">
        <v>671</v>
      </c>
      <c r="C3" s="72" t="s">
        <v>619</v>
      </c>
      <c r="D3" s="72" t="s">
        <v>632</v>
      </c>
      <c r="E3" s="72" t="s">
        <v>645</v>
      </c>
      <c r="F3" s="72" t="s">
        <v>741</v>
      </c>
      <c r="G3" s="72" t="s">
        <v>765</v>
      </c>
      <c r="H3" s="72" t="s">
        <v>780</v>
      </c>
      <c r="I3" s="72" t="s">
        <v>794</v>
      </c>
      <c r="J3" s="72" t="s">
        <v>740</v>
      </c>
      <c r="K3" s="72" t="s">
        <v>858</v>
      </c>
      <c r="L3" s="72" t="s">
        <v>832</v>
      </c>
      <c r="M3" s="72" t="s">
        <v>859</v>
      </c>
      <c r="N3" s="72" t="s">
        <v>854</v>
      </c>
      <c r="O3" s="664" t="s">
        <v>860</v>
      </c>
      <c r="P3" s="72" t="s">
        <v>861</v>
      </c>
      <c r="Q3" s="664" t="s">
        <v>862</v>
      </c>
      <c r="R3" s="72" t="s">
        <v>863</v>
      </c>
      <c r="S3" s="664" t="s">
        <v>920</v>
      </c>
      <c r="T3" s="72" t="s">
        <v>968</v>
      </c>
      <c r="U3" s="72" t="s">
        <v>969</v>
      </c>
      <c r="V3" s="664" t="s">
        <v>970</v>
      </c>
      <c r="W3" s="72" t="s">
        <v>998</v>
      </c>
      <c r="X3" s="72" t="s">
        <v>1018</v>
      </c>
    </row>
    <row r="4" spans="1:27">
      <c r="A4" s="79"/>
      <c r="Q4" s="10"/>
      <c r="R4" s="10"/>
      <c r="S4" s="10"/>
      <c r="T4" s="10"/>
      <c r="U4" s="10"/>
      <c r="V4" s="10"/>
      <c r="W4" s="10"/>
      <c r="X4" s="10"/>
      <c r="Y4" s="10"/>
    </row>
    <row r="5" spans="1:27" ht="16" customHeight="1">
      <c r="A5" s="79" t="s">
        <v>561</v>
      </c>
      <c r="B5" s="529"/>
      <c r="C5" s="116">
        <v>6445</v>
      </c>
      <c r="D5" s="116">
        <v>5421</v>
      </c>
      <c r="E5" s="116">
        <f>5997+1</f>
        <v>5998</v>
      </c>
      <c r="F5" s="116">
        <v>7300</v>
      </c>
      <c r="G5" s="116">
        <v>9620</v>
      </c>
      <c r="H5" s="116">
        <f>8081-4</f>
        <v>8077</v>
      </c>
      <c r="I5" s="116">
        <f>8690-123</f>
        <v>8567</v>
      </c>
      <c r="J5" s="116">
        <v>10047</v>
      </c>
      <c r="K5" s="116">
        <f>12934-677</f>
        <v>12257</v>
      </c>
      <c r="L5" s="626">
        <f>9689+106</f>
        <v>9795</v>
      </c>
      <c r="M5" s="626">
        <f>9160-27</f>
        <v>9133</v>
      </c>
      <c r="N5" s="626">
        <v>10792</v>
      </c>
      <c r="O5" s="626">
        <f>8142+342</f>
        <v>8484</v>
      </c>
      <c r="P5" s="626">
        <f>7142+62+1</f>
        <v>7205</v>
      </c>
      <c r="Q5" s="626">
        <f>7746+1</f>
        <v>7747</v>
      </c>
      <c r="R5" s="626">
        <v>9099</v>
      </c>
      <c r="S5" s="626">
        <v>9297</v>
      </c>
      <c r="T5" s="626">
        <v>7346</v>
      </c>
      <c r="U5" s="626">
        <v>7616</v>
      </c>
      <c r="V5" s="626">
        <v>9018</v>
      </c>
      <c r="W5" s="626">
        <v>9507</v>
      </c>
      <c r="X5" s="626">
        <v>7694</v>
      </c>
      <c r="Y5" s="626"/>
      <c r="Z5" s="116"/>
      <c r="AA5" s="116"/>
    </row>
    <row r="6" spans="1:27">
      <c r="A6" s="250" t="s">
        <v>560</v>
      </c>
      <c r="B6" s="529"/>
      <c r="C6" s="389">
        <v>0</v>
      </c>
      <c r="D6" s="389">
        <v>0</v>
      </c>
      <c r="E6" s="116">
        <v>-7</v>
      </c>
      <c r="F6" s="116">
        <v>-2</v>
      </c>
      <c r="G6" s="389">
        <v>0</v>
      </c>
      <c r="H6" s="116">
        <v>4</v>
      </c>
      <c r="I6" s="116">
        <v>2</v>
      </c>
      <c r="J6" s="116">
        <v>478</v>
      </c>
      <c r="K6" s="116">
        <v>2304</v>
      </c>
      <c r="L6" s="626">
        <v>1975</v>
      </c>
      <c r="M6" s="626">
        <v>1903</v>
      </c>
      <c r="N6" s="626">
        <v>1876</v>
      </c>
      <c r="O6" s="626">
        <v>1178</v>
      </c>
      <c r="P6" s="626">
        <v>938</v>
      </c>
      <c r="Q6" s="626">
        <v>380</v>
      </c>
      <c r="R6" s="626">
        <v>368</v>
      </c>
      <c r="S6" s="626">
        <v>335</v>
      </c>
      <c r="T6" s="626">
        <v>321</v>
      </c>
      <c r="U6" s="626">
        <v>203</v>
      </c>
      <c r="V6" s="626">
        <v>222</v>
      </c>
      <c r="W6" s="578">
        <v>0</v>
      </c>
      <c r="X6" s="626">
        <v>61</v>
      </c>
      <c r="Y6" s="626"/>
      <c r="Z6" s="116"/>
      <c r="AA6" s="116"/>
    </row>
    <row r="7" spans="1:27" ht="15.75" customHeight="1">
      <c r="A7" s="86" t="s">
        <v>375</v>
      </c>
      <c r="B7" s="529"/>
      <c r="C7" s="116">
        <v>-5002</v>
      </c>
      <c r="D7" s="116">
        <v>-5647</v>
      </c>
      <c r="E7" s="116">
        <f>-5455-1</f>
        <v>-5456</v>
      </c>
      <c r="F7" s="116">
        <v>-6823</v>
      </c>
      <c r="G7" s="116">
        <v>-8048</v>
      </c>
      <c r="H7" s="116">
        <v>-8155</v>
      </c>
      <c r="I7" s="116">
        <f>-8484+137</f>
        <v>-8347</v>
      </c>
      <c r="J7" s="116">
        <v>-10304</v>
      </c>
      <c r="K7" s="116">
        <f>-13861+608</f>
        <v>-13253</v>
      </c>
      <c r="L7" s="626">
        <f>-10064</f>
        <v>-10064</v>
      </c>
      <c r="M7" s="626">
        <f>-10101</f>
        <v>-10101</v>
      </c>
      <c r="N7" s="626">
        <f>-11550-659</f>
        <v>-12209</v>
      </c>
      <c r="O7" s="626">
        <v>-7971</v>
      </c>
      <c r="P7" s="626">
        <v>-8388</v>
      </c>
      <c r="Q7" s="626">
        <v>-6913</v>
      </c>
      <c r="R7" s="626">
        <v>-8159</v>
      </c>
      <c r="S7" s="626">
        <v>-7531</v>
      </c>
      <c r="T7" s="626">
        <v>-6063</v>
      </c>
      <c r="U7" s="626">
        <v>-6213</v>
      </c>
      <c r="V7" s="626">
        <v>-7954</v>
      </c>
      <c r="W7" s="626">
        <v>-7695</v>
      </c>
      <c r="X7" s="626">
        <v>-6489</v>
      </c>
      <c r="Y7" s="626"/>
      <c r="Z7" s="116"/>
      <c r="AA7" s="116"/>
    </row>
    <row r="8" spans="1:27" s="391" customFormat="1">
      <c r="A8" s="79" t="s">
        <v>672</v>
      </c>
      <c r="B8" s="535"/>
      <c r="C8" s="506">
        <v>1443</v>
      </c>
      <c r="D8" s="116">
        <v>-226</v>
      </c>
      <c r="E8" s="506">
        <v>535</v>
      </c>
      <c r="F8" s="506">
        <v>475</v>
      </c>
      <c r="G8" s="506">
        <v>1572</v>
      </c>
      <c r="H8" s="116">
        <v>-74</v>
      </c>
      <c r="I8" s="116">
        <f>208+14</f>
        <v>222</v>
      </c>
      <c r="J8" s="116">
        <v>221</v>
      </c>
      <c r="K8" s="116">
        <f>K5+K6+K7</f>
        <v>1308</v>
      </c>
      <c r="L8" s="626">
        <f>1600+106</f>
        <v>1706</v>
      </c>
      <c r="M8" s="626">
        <f>962-27</f>
        <v>935</v>
      </c>
      <c r="N8" s="626">
        <f>541-82</f>
        <v>459</v>
      </c>
      <c r="O8" s="626">
        <f>1349+342</f>
        <v>1691</v>
      </c>
      <c r="P8" s="626">
        <f>-308+62+1</f>
        <v>-245</v>
      </c>
      <c r="Q8" s="626">
        <f>1213+1</f>
        <v>1214</v>
      </c>
      <c r="R8" s="626">
        <v>1308</v>
      </c>
      <c r="S8" s="626">
        <v>2101</v>
      </c>
      <c r="T8" s="626">
        <v>1604</v>
      </c>
      <c r="U8" s="626">
        <v>1606</v>
      </c>
      <c r="V8" s="626">
        <v>1286</v>
      </c>
      <c r="W8" s="626">
        <v>1812</v>
      </c>
      <c r="X8" s="626">
        <v>1266</v>
      </c>
      <c r="Y8" s="626"/>
      <c r="Z8" s="116"/>
      <c r="AA8" s="116"/>
    </row>
    <row r="9" spans="1:27">
      <c r="A9" s="86" t="s">
        <v>376</v>
      </c>
      <c r="B9" s="529"/>
      <c r="C9" s="116">
        <v>-117</v>
      </c>
      <c r="D9" s="116">
        <v>-132</v>
      </c>
      <c r="E9" s="116">
        <f>-145-1</f>
        <v>-146</v>
      </c>
      <c r="F9" s="116">
        <v>-90</v>
      </c>
      <c r="G9" s="116">
        <v>-125</v>
      </c>
      <c r="H9" s="116">
        <v>-140</v>
      </c>
      <c r="I9" s="116">
        <f>-130+22</f>
        <v>-108</v>
      </c>
      <c r="J9" s="116">
        <v>-155</v>
      </c>
      <c r="K9" s="116">
        <f>-172</f>
        <v>-172</v>
      </c>
      <c r="L9" s="626">
        <v>-187</v>
      </c>
      <c r="M9" s="626">
        <v>-202</v>
      </c>
      <c r="N9" s="626">
        <v>-205</v>
      </c>
      <c r="O9" s="626">
        <v>-183</v>
      </c>
      <c r="P9" s="626">
        <v>-189</v>
      </c>
      <c r="Q9" s="626">
        <v>-170</v>
      </c>
      <c r="R9" s="626">
        <v>-196</v>
      </c>
      <c r="S9" s="626">
        <v>-198</v>
      </c>
      <c r="T9" s="626">
        <v>-195</v>
      </c>
      <c r="U9" s="626">
        <v>-190</v>
      </c>
      <c r="V9" s="626">
        <v>-226</v>
      </c>
      <c r="W9" s="626">
        <v>-219</v>
      </c>
      <c r="X9" s="626">
        <v>-207</v>
      </c>
      <c r="Y9" s="626"/>
      <c r="Z9" s="116"/>
      <c r="AA9" s="116"/>
    </row>
    <row r="10" spans="1:27">
      <c r="A10" s="86" t="s">
        <v>204</v>
      </c>
      <c r="B10" s="529"/>
      <c r="C10" s="116">
        <v>-149</v>
      </c>
      <c r="D10" s="116">
        <v>-157</v>
      </c>
      <c r="E10" s="116">
        <f>-157-1</f>
        <v>-158</v>
      </c>
      <c r="F10" s="116">
        <v>-26</v>
      </c>
      <c r="G10" s="116">
        <v>-125</v>
      </c>
      <c r="H10" s="116">
        <v>-134</v>
      </c>
      <c r="I10" s="116">
        <f>-194+39</f>
        <v>-155</v>
      </c>
      <c r="J10" s="116">
        <v>-144</v>
      </c>
      <c r="K10" s="116">
        <v>-160</v>
      </c>
      <c r="L10" s="626">
        <v>-176</v>
      </c>
      <c r="M10" s="626">
        <v>-167</v>
      </c>
      <c r="N10" s="626">
        <v>-198</v>
      </c>
      <c r="O10" s="626">
        <v>-197</v>
      </c>
      <c r="P10" s="626">
        <v>-172</v>
      </c>
      <c r="Q10" s="626">
        <v>-169</v>
      </c>
      <c r="R10" s="626">
        <v>-215</v>
      </c>
      <c r="S10" s="626">
        <v>-182</v>
      </c>
      <c r="T10" s="626">
        <v>-185</v>
      </c>
      <c r="U10" s="626">
        <v>-183</v>
      </c>
      <c r="V10" s="626">
        <v>-238</v>
      </c>
      <c r="W10" s="626">
        <v>-200</v>
      </c>
      <c r="X10" s="626">
        <v>-199</v>
      </c>
      <c r="Y10" s="626"/>
      <c r="Z10" s="116"/>
      <c r="AA10" s="116"/>
    </row>
    <row r="11" spans="1:27">
      <c r="A11" s="86" t="s">
        <v>205</v>
      </c>
      <c r="B11" s="529"/>
      <c r="C11" s="116">
        <v>16</v>
      </c>
      <c r="D11" s="116">
        <v>31</v>
      </c>
      <c r="E11" s="109">
        <f>42+2</f>
        <v>44</v>
      </c>
      <c r="F11" s="109">
        <v>-15</v>
      </c>
      <c r="G11" s="389">
        <v>0</v>
      </c>
      <c r="H11" s="116">
        <v>-2</v>
      </c>
      <c r="I11" s="116">
        <v>7</v>
      </c>
      <c r="J11" s="116">
        <v>81</v>
      </c>
      <c r="K11" s="116">
        <v>17</v>
      </c>
      <c r="L11" s="626">
        <v>215</v>
      </c>
      <c r="M11" s="626">
        <v>15</v>
      </c>
      <c r="N11" s="626">
        <v>13</v>
      </c>
      <c r="O11" s="626">
        <v>5</v>
      </c>
      <c r="P11" s="626">
        <v>39</v>
      </c>
      <c r="Q11" s="626">
        <v>2</v>
      </c>
      <c r="R11" s="626">
        <v>44</v>
      </c>
      <c r="S11" s="626">
        <v>30</v>
      </c>
      <c r="T11" s="626">
        <v>-3</v>
      </c>
      <c r="U11" s="626">
        <v>16</v>
      </c>
      <c r="V11" s="626">
        <v>-8</v>
      </c>
      <c r="W11" s="626">
        <f>59-70</f>
        <v>-11</v>
      </c>
      <c r="X11" s="626">
        <v>48</v>
      </c>
      <c r="Y11" s="626"/>
      <c r="Z11" s="116"/>
      <c r="AA11" s="116"/>
    </row>
    <row r="12" spans="1:27">
      <c r="A12" s="86" t="s">
        <v>388</v>
      </c>
      <c r="B12" s="529"/>
      <c r="C12" s="116">
        <v>19</v>
      </c>
      <c r="D12" s="116">
        <v>3</v>
      </c>
      <c r="E12" s="109">
        <v>19</v>
      </c>
      <c r="F12" s="109">
        <v>-9</v>
      </c>
      <c r="G12" s="116">
        <v>27</v>
      </c>
      <c r="H12" s="116">
        <v>22</v>
      </c>
      <c r="I12" s="116">
        <v>68</v>
      </c>
      <c r="J12" s="116">
        <v>11</v>
      </c>
      <c r="K12" s="116">
        <v>27</v>
      </c>
      <c r="L12" s="626">
        <v>36</v>
      </c>
      <c r="M12" s="626">
        <v>32</v>
      </c>
      <c r="N12" s="626">
        <v>-582</v>
      </c>
      <c r="O12" s="626">
        <v>14</v>
      </c>
      <c r="P12" s="626">
        <v>1</v>
      </c>
      <c r="Q12" s="626">
        <v>70</v>
      </c>
      <c r="R12" s="626">
        <v>-1</v>
      </c>
      <c r="S12" s="626">
        <v>7</v>
      </c>
      <c r="T12" s="626">
        <v>15</v>
      </c>
      <c r="U12" s="626">
        <v>17</v>
      </c>
      <c r="V12" s="626">
        <v>18</v>
      </c>
      <c r="W12" s="626">
        <v>31</v>
      </c>
      <c r="X12" s="626">
        <v>7</v>
      </c>
      <c r="Y12" s="626"/>
      <c r="Z12" s="116"/>
      <c r="AA12" s="116"/>
    </row>
    <row r="13" spans="1:27" s="391" customFormat="1">
      <c r="A13" s="79" t="s">
        <v>377</v>
      </c>
      <c r="B13" s="529"/>
      <c r="C13" s="506">
        <v>1212</v>
      </c>
      <c r="D13" s="116">
        <v>-481</v>
      </c>
      <c r="E13" s="391">
        <v>294</v>
      </c>
      <c r="F13" s="391">
        <v>335</v>
      </c>
      <c r="G13" s="506">
        <v>1349</v>
      </c>
      <c r="H13" s="116">
        <v>-328</v>
      </c>
      <c r="I13" s="506">
        <f>-41+75</f>
        <v>34</v>
      </c>
      <c r="J13" s="506">
        <v>14</v>
      </c>
      <c r="K13" s="506">
        <f>1697-677</f>
        <v>1020</v>
      </c>
      <c r="L13" s="626">
        <f>1488+106</f>
        <v>1594</v>
      </c>
      <c r="M13" s="626">
        <f>640-27</f>
        <v>613</v>
      </c>
      <c r="N13" s="626">
        <v>-513</v>
      </c>
      <c r="O13" s="626">
        <f>988+342</f>
        <v>1330</v>
      </c>
      <c r="P13" s="626">
        <f>-629+62+1</f>
        <v>-566</v>
      </c>
      <c r="Q13" s="626">
        <f>946+1</f>
        <v>947</v>
      </c>
      <c r="R13" s="626">
        <v>940</v>
      </c>
      <c r="S13" s="626">
        <v>1758</v>
      </c>
      <c r="T13" s="626">
        <v>1236</v>
      </c>
      <c r="U13" s="626">
        <v>1266</v>
      </c>
      <c r="V13" s="626">
        <v>832</v>
      </c>
      <c r="W13" s="626">
        <v>1413</v>
      </c>
      <c r="X13" s="626">
        <v>915</v>
      </c>
      <c r="Y13" s="626"/>
      <c r="Z13" s="116"/>
      <c r="AA13" s="116"/>
    </row>
    <row r="14" spans="1:27">
      <c r="A14" s="86" t="s">
        <v>206</v>
      </c>
      <c r="B14" s="529"/>
      <c r="C14" s="116">
        <v>-91</v>
      </c>
      <c r="D14" s="116">
        <v>-95</v>
      </c>
      <c r="E14" s="116">
        <f>-93+1</f>
        <v>-92</v>
      </c>
      <c r="F14" s="116">
        <v>-87</v>
      </c>
      <c r="G14" s="116">
        <v>-110</v>
      </c>
      <c r="H14" s="116">
        <v>-145</v>
      </c>
      <c r="I14" s="116">
        <f>-155+1</f>
        <v>-154</v>
      </c>
      <c r="J14" s="116">
        <v>-182</v>
      </c>
      <c r="K14" s="116">
        <v>-211</v>
      </c>
      <c r="L14" s="626">
        <v>-227</v>
      </c>
      <c r="M14" s="626">
        <v>-181</v>
      </c>
      <c r="N14" s="626">
        <v>-178</v>
      </c>
      <c r="O14" s="626">
        <v>-186</v>
      </c>
      <c r="P14" s="626">
        <v>-156</v>
      </c>
      <c r="Q14" s="626">
        <v>-155</v>
      </c>
      <c r="R14" s="626">
        <v>-175</v>
      </c>
      <c r="S14" s="626">
        <v>-165</v>
      </c>
      <c r="T14" s="626">
        <v>-176</v>
      </c>
      <c r="U14" s="626">
        <v>-152</v>
      </c>
      <c r="V14" s="626">
        <v>-141</v>
      </c>
      <c r="W14" s="723">
        <v>-134</v>
      </c>
      <c r="X14" s="626">
        <v>-131</v>
      </c>
      <c r="Y14" s="626"/>
      <c r="Z14" s="116"/>
      <c r="AA14" s="116"/>
    </row>
    <row r="15" spans="1:27">
      <c r="A15" s="86" t="s">
        <v>533</v>
      </c>
      <c r="B15" s="529"/>
      <c r="C15" s="116">
        <v>-24</v>
      </c>
      <c r="D15" s="116">
        <v>76</v>
      </c>
      <c r="E15" s="116">
        <f>-10-1</f>
        <v>-11</v>
      </c>
      <c r="F15" s="116">
        <v>89</v>
      </c>
      <c r="G15" s="116">
        <v>-32</v>
      </c>
      <c r="H15" s="116">
        <v>-9</v>
      </c>
      <c r="I15" s="116">
        <f>-18+5</f>
        <v>-13</v>
      </c>
      <c r="J15" s="116">
        <v>-314</v>
      </c>
      <c r="K15" s="116">
        <v>-94</v>
      </c>
      <c r="L15" s="626">
        <v>-127</v>
      </c>
      <c r="M15" s="626">
        <v>30</v>
      </c>
      <c r="N15" s="626">
        <v>-104</v>
      </c>
      <c r="O15" s="626">
        <v>-70</v>
      </c>
      <c r="P15" s="626">
        <v>34</v>
      </c>
      <c r="Q15" s="626">
        <v>-41</v>
      </c>
      <c r="R15" s="626">
        <v>-16</v>
      </c>
      <c r="S15" s="626">
        <v>-144</v>
      </c>
      <c r="T15" s="626">
        <v>-12</v>
      </c>
      <c r="U15" s="626">
        <v>-37</v>
      </c>
      <c r="V15" s="626">
        <v>-12</v>
      </c>
      <c r="W15" s="726">
        <v>-27</v>
      </c>
      <c r="X15" s="726">
        <v>69</v>
      </c>
      <c r="Y15" s="626"/>
      <c r="Z15" s="116"/>
      <c r="AA15" s="116"/>
    </row>
    <row r="16" spans="1:27">
      <c r="A16" s="79" t="s">
        <v>673</v>
      </c>
      <c r="B16" s="529"/>
      <c r="C16" s="506">
        <v>1097</v>
      </c>
      <c r="D16" s="506">
        <v>-500</v>
      </c>
      <c r="E16" s="506">
        <v>191</v>
      </c>
      <c r="F16" s="506">
        <v>337</v>
      </c>
      <c r="G16" s="506">
        <v>1207</v>
      </c>
      <c r="H16" s="116">
        <v>-482</v>
      </c>
      <c r="I16" s="116">
        <f>-214+81</f>
        <v>-133</v>
      </c>
      <c r="J16" s="116">
        <v>-482</v>
      </c>
      <c r="K16" s="116">
        <f>1392-677</f>
        <v>715</v>
      </c>
      <c r="L16" s="626">
        <f>1134+106</f>
        <v>1240</v>
      </c>
      <c r="M16" s="626">
        <f>489-27</f>
        <v>462</v>
      </c>
      <c r="N16" s="626">
        <f>-713-680+598</f>
        <v>-795</v>
      </c>
      <c r="O16" s="626">
        <f>732+342</f>
        <v>1074</v>
      </c>
      <c r="P16" s="626">
        <f>-751+62+1</f>
        <v>-688</v>
      </c>
      <c r="Q16" s="626">
        <f>750+1</f>
        <v>751</v>
      </c>
      <c r="R16" s="626">
        <v>749</v>
      </c>
      <c r="S16" s="626">
        <v>1449</v>
      </c>
      <c r="T16" s="626">
        <v>1048</v>
      </c>
      <c r="U16" s="626">
        <v>1077</v>
      </c>
      <c r="V16" s="626">
        <v>679</v>
      </c>
      <c r="W16" s="626">
        <v>1252</v>
      </c>
      <c r="X16" s="626">
        <v>853</v>
      </c>
      <c r="Y16" s="626"/>
      <c r="Z16" s="116"/>
      <c r="AA16" s="116"/>
    </row>
    <row r="17" spans="1:27">
      <c r="A17" s="86" t="s">
        <v>207</v>
      </c>
      <c r="B17" s="529"/>
      <c r="C17" s="116">
        <v>-246</v>
      </c>
      <c r="D17" s="506">
        <v>31</v>
      </c>
      <c r="E17" s="116">
        <v>-76</v>
      </c>
      <c r="F17" s="116">
        <v>-2</v>
      </c>
      <c r="G17" s="116">
        <v>-371</v>
      </c>
      <c r="H17" s="116">
        <v>81</v>
      </c>
      <c r="I17" s="116">
        <v>-18</v>
      </c>
      <c r="J17" s="116">
        <v>-11</v>
      </c>
      <c r="K17" s="116">
        <f>-356+128</f>
        <v>-228</v>
      </c>
      <c r="L17" s="626">
        <f>-294-20</f>
        <v>-314</v>
      </c>
      <c r="M17" s="626">
        <f>-102+6</f>
        <v>-96</v>
      </c>
      <c r="N17" s="626">
        <f>128+130-114</f>
        <v>144</v>
      </c>
      <c r="O17" s="626">
        <f>-201-65</f>
        <v>-266</v>
      </c>
      <c r="P17" s="626">
        <f>-623-11-1</f>
        <v>-635</v>
      </c>
      <c r="Q17" s="626">
        <f>-114</f>
        <v>-114</v>
      </c>
      <c r="R17" s="626">
        <v>-281</v>
      </c>
      <c r="S17" s="626">
        <v>-318</v>
      </c>
      <c r="T17" s="626">
        <v>-124</v>
      </c>
      <c r="U17" s="626">
        <v>-233</v>
      </c>
      <c r="V17" s="626">
        <v>-263</v>
      </c>
      <c r="W17" s="626">
        <v>-273</v>
      </c>
      <c r="X17" s="626">
        <v>-267</v>
      </c>
      <c r="Y17" s="626"/>
      <c r="Z17" s="116"/>
      <c r="AA17" s="116"/>
    </row>
    <row r="18" spans="1:27">
      <c r="A18" s="86"/>
      <c r="B18" s="529"/>
      <c r="C18" s="116"/>
      <c r="D18" s="506"/>
      <c r="E18" s="116"/>
      <c r="F18" s="116"/>
      <c r="G18" s="116"/>
      <c r="H18" s="116"/>
      <c r="I18" s="116"/>
      <c r="J18" s="116"/>
      <c r="K18" s="116"/>
      <c r="L18" s="626"/>
      <c r="M18" s="626"/>
      <c r="N18" s="626"/>
      <c r="P18" s="626"/>
      <c r="Q18" s="10"/>
      <c r="R18" s="626"/>
      <c r="S18" s="626"/>
      <c r="T18" s="626"/>
      <c r="U18" s="626"/>
      <c r="V18" s="626"/>
      <c r="W18" s="626"/>
      <c r="X18" s="626"/>
      <c r="Y18" s="626"/>
    </row>
    <row r="19" spans="1:27">
      <c r="A19" s="570" t="s">
        <v>729</v>
      </c>
      <c r="B19" s="529"/>
      <c r="C19" s="116"/>
      <c r="D19" s="506"/>
      <c r="E19" s="116"/>
      <c r="F19" s="116">
        <v>832</v>
      </c>
      <c r="G19" s="620">
        <v>836</v>
      </c>
      <c r="H19" s="620">
        <v>-401</v>
      </c>
      <c r="I19" s="620">
        <v>-151</v>
      </c>
      <c r="J19" s="620">
        <v>-493</v>
      </c>
      <c r="K19" s="620">
        <f>1036-549</f>
        <v>487</v>
      </c>
      <c r="L19" s="620">
        <f>840+86</f>
        <v>926</v>
      </c>
      <c r="M19" s="620">
        <f>387-21</f>
        <v>366</v>
      </c>
      <c r="N19" s="620">
        <f>-585-550+484</f>
        <v>-651</v>
      </c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6"/>
    </row>
    <row r="20" spans="1:27">
      <c r="A20" s="79"/>
      <c r="B20" s="529"/>
      <c r="C20" s="116"/>
      <c r="D20" s="506"/>
      <c r="E20" s="116"/>
      <c r="F20" s="116"/>
      <c r="G20" s="620"/>
      <c r="H20" s="620"/>
      <c r="I20" s="620"/>
      <c r="J20" s="620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626"/>
    </row>
    <row r="21" spans="1:27">
      <c r="A21" s="570" t="s">
        <v>730</v>
      </c>
      <c r="B21" s="529"/>
      <c r="C21" s="116"/>
      <c r="D21" s="506"/>
      <c r="E21" s="116"/>
      <c r="F21" s="116">
        <v>-447</v>
      </c>
      <c r="G21" s="620">
        <v>65</v>
      </c>
      <c r="H21" s="620">
        <v>129</v>
      </c>
      <c r="I21" s="620">
        <v>-81</v>
      </c>
      <c r="J21" s="620">
        <v>-38</v>
      </c>
      <c r="K21" s="623">
        <v>0</v>
      </c>
      <c r="L21" s="623">
        <v>0</v>
      </c>
      <c r="M21" s="623">
        <v>0</v>
      </c>
      <c r="N21" s="623">
        <v>0</v>
      </c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6"/>
    </row>
    <row r="22" spans="1:27">
      <c r="A22" s="86"/>
      <c r="B22" s="529"/>
      <c r="C22" s="116"/>
      <c r="D22" s="506"/>
      <c r="E22" s="116"/>
      <c r="F22" s="116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6"/>
    </row>
    <row r="23" spans="1:27">
      <c r="A23" s="570" t="s">
        <v>674</v>
      </c>
      <c r="B23" s="529"/>
      <c r="C23" s="93">
        <v>851</v>
      </c>
      <c r="D23" s="93">
        <v>-469</v>
      </c>
      <c r="E23" s="93">
        <v>115</v>
      </c>
      <c r="F23" s="93">
        <v>-112</v>
      </c>
      <c r="G23" s="621">
        <v>901</v>
      </c>
      <c r="H23" s="621">
        <v>-272</v>
      </c>
      <c r="I23" s="621">
        <v>-232</v>
      </c>
      <c r="J23" s="621">
        <v>-531</v>
      </c>
      <c r="K23" s="620">
        <f>1036-549</f>
        <v>487</v>
      </c>
      <c r="L23" s="620">
        <f>840+86</f>
        <v>926</v>
      </c>
      <c r="M23" s="620">
        <f>387-21</f>
        <v>366</v>
      </c>
      <c r="N23" s="620">
        <v>-651</v>
      </c>
      <c r="O23" s="620">
        <f>531+277</f>
        <v>808</v>
      </c>
      <c r="P23" s="620">
        <f>-1374+51</f>
        <v>-1323</v>
      </c>
      <c r="Q23" s="620">
        <f>636+1</f>
        <v>637</v>
      </c>
      <c r="R23" s="620">
        <v>468</v>
      </c>
      <c r="S23" s="620">
        <v>1131</v>
      </c>
      <c r="T23" s="620">
        <v>924</v>
      </c>
      <c r="U23" s="620">
        <v>844</v>
      </c>
      <c r="V23" s="620">
        <v>416</v>
      </c>
      <c r="W23" s="620">
        <v>979</v>
      </c>
      <c r="X23" s="620">
        <v>586</v>
      </c>
      <c r="Y23" s="626"/>
      <c r="Z23" s="116"/>
      <c r="AA23" s="116"/>
    </row>
    <row r="24" spans="1:27">
      <c r="A24" s="79"/>
      <c r="B24" s="529"/>
      <c r="I24" s="116"/>
      <c r="J24" s="116"/>
      <c r="K24" s="116"/>
      <c r="L24" s="626"/>
      <c r="P24" s="626"/>
      <c r="Q24" s="10"/>
      <c r="R24" s="10"/>
      <c r="S24" s="626"/>
      <c r="T24" s="626"/>
      <c r="U24" s="626"/>
      <c r="V24" s="626"/>
      <c r="W24" s="626"/>
      <c r="X24" s="626"/>
      <c r="Y24" s="626"/>
    </row>
    <row r="25" spans="1:27">
      <c r="A25" s="86" t="s">
        <v>208</v>
      </c>
      <c r="B25" s="529"/>
      <c r="C25" s="116">
        <v>119</v>
      </c>
      <c r="D25" s="116">
        <v>13</v>
      </c>
      <c r="E25" s="116">
        <v>65</v>
      </c>
      <c r="F25" s="116">
        <v>258</v>
      </c>
      <c r="G25" s="109">
        <v>159</v>
      </c>
      <c r="H25" s="109">
        <v>173</v>
      </c>
      <c r="I25" s="116">
        <v>-26</v>
      </c>
      <c r="J25" s="116">
        <v>-119</v>
      </c>
      <c r="K25" s="116">
        <v>-90</v>
      </c>
      <c r="L25" s="626">
        <v>-84</v>
      </c>
      <c r="M25" s="626">
        <v>-88</v>
      </c>
      <c r="N25" s="626">
        <v>-25</v>
      </c>
      <c r="O25" s="626">
        <v>-7</v>
      </c>
      <c r="P25" s="626">
        <v>-26</v>
      </c>
      <c r="Q25" s="626">
        <v>-58</v>
      </c>
      <c r="R25" s="626">
        <v>-6</v>
      </c>
      <c r="S25" s="626">
        <v>-32</v>
      </c>
      <c r="T25" s="626">
        <v>-37</v>
      </c>
      <c r="U25" s="626">
        <v>-26</v>
      </c>
      <c r="V25" s="626">
        <v>-131</v>
      </c>
      <c r="W25" s="626">
        <v>74</v>
      </c>
      <c r="X25" s="626">
        <v>-48</v>
      </c>
      <c r="Y25" s="626"/>
      <c r="Z25" s="116"/>
      <c r="AA25" s="116"/>
    </row>
    <row r="26" spans="1:27">
      <c r="A26" s="86" t="s">
        <v>209</v>
      </c>
      <c r="B26" s="529"/>
      <c r="C26" s="116">
        <v>5</v>
      </c>
      <c r="D26" s="116">
        <v>-2</v>
      </c>
      <c r="E26" s="116">
        <f>7+1</f>
        <v>8</v>
      </c>
      <c r="F26" s="116">
        <v>5</v>
      </c>
      <c r="G26" s="109">
        <v>9</v>
      </c>
      <c r="H26" s="116">
        <v>-2</v>
      </c>
      <c r="I26" s="116">
        <v>16</v>
      </c>
      <c r="J26" s="116">
        <v>-6</v>
      </c>
      <c r="K26" s="116">
        <v>9</v>
      </c>
      <c r="L26" s="626">
        <v>-20</v>
      </c>
      <c r="M26" s="626">
        <v>3</v>
      </c>
      <c r="N26" s="626">
        <v>10</v>
      </c>
      <c r="O26" s="10">
        <v>6</v>
      </c>
      <c r="P26" s="626">
        <v>-3</v>
      </c>
      <c r="Q26" s="626">
        <v>-68</v>
      </c>
      <c r="R26" s="578">
        <v>0</v>
      </c>
      <c r="S26" s="578">
        <v>0</v>
      </c>
      <c r="T26" s="578">
        <v>0</v>
      </c>
      <c r="U26" s="626">
        <v>1</v>
      </c>
      <c r="V26" s="626">
        <v>0</v>
      </c>
      <c r="W26" s="578">
        <v>0</v>
      </c>
      <c r="X26" s="626">
        <v>1</v>
      </c>
      <c r="Y26" s="626"/>
      <c r="Z26" s="116"/>
      <c r="AA26" s="116"/>
    </row>
    <row r="27" spans="1:27">
      <c r="A27" s="260" t="s">
        <v>210</v>
      </c>
      <c r="B27" s="529"/>
      <c r="C27" s="116">
        <v>-23</v>
      </c>
      <c r="D27" s="116">
        <v>-2</v>
      </c>
      <c r="E27" s="116">
        <f>-12-1</f>
        <v>-13</v>
      </c>
      <c r="F27" s="116">
        <v>-50</v>
      </c>
      <c r="G27" s="116">
        <v>-30</v>
      </c>
      <c r="H27" s="116">
        <v>-33</v>
      </c>
      <c r="I27" s="116">
        <v>5</v>
      </c>
      <c r="J27" s="116">
        <v>22</v>
      </c>
      <c r="K27" s="116">
        <v>17</v>
      </c>
      <c r="L27" s="626">
        <v>16</v>
      </c>
      <c r="M27" s="626">
        <v>17</v>
      </c>
      <c r="N27" s="626">
        <v>5</v>
      </c>
      <c r="O27" s="10">
        <v>1</v>
      </c>
      <c r="P27" s="626">
        <v>5</v>
      </c>
      <c r="Q27" s="626">
        <v>11</v>
      </c>
      <c r="R27" s="626">
        <v>1</v>
      </c>
      <c r="S27" s="626">
        <v>6</v>
      </c>
      <c r="T27" s="626">
        <v>7</v>
      </c>
      <c r="U27" s="626">
        <v>5</v>
      </c>
      <c r="V27" s="626">
        <v>26</v>
      </c>
      <c r="W27" s="626">
        <v>-14</v>
      </c>
      <c r="X27" s="626">
        <v>9</v>
      </c>
      <c r="Y27" s="626"/>
      <c r="Z27" s="116"/>
      <c r="AA27" s="116"/>
    </row>
    <row r="28" spans="1:27" ht="26.5">
      <c r="A28" s="571" t="s">
        <v>675</v>
      </c>
      <c r="B28" s="529"/>
      <c r="C28" s="116">
        <v>101</v>
      </c>
      <c r="D28" s="116">
        <v>9</v>
      </c>
      <c r="E28" s="116">
        <v>60</v>
      </c>
      <c r="F28" s="116">
        <v>213</v>
      </c>
      <c r="G28" s="109">
        <v>138</v>
      </c>
      <c r="H28" s="109">
        <v>138</v>
      </c>
      <c r="I28" s="116">
        <v>-5</v>
      </c>
      <c r="J28" s="116">
        <v>-103</v>
      </c>
      <c r="K28" s="116">
        <v>-64</v>
      </c>
      <c r="L28" s="626">
        <v>-88</v>
      </c>
      <c r="M28" s="626">
        <v>-68</v>
      </c>
      <c r="N28" s="626">
        <v>-10</v>
      </c>
      <c r="O28" s="578">
        <v>0</v>
      </c>
      <c r="P28" s="626">
        <v>-24</v>
      </c>
      <c r="Q28" s="626">
        <v>-115</v>
      </c>
      <c r="R28" s="626">
        <v>-5</v>
      </c>
      <c r="S28" s="626">
        <v>-26</v>
      </c>
      <c r="T28" s="626">
        <v>-30</v>
      </c>
      <c r="U28" s="626">
        <v>-20</v>
      </c>
      <c r="V28" s="626">
        <v>-105</v>
      </c>
      <c r="W28" s="626">
        <v>60</v>
      </c>
      <c r="X28" s="626">
        <v>-38</v>
      </c>
      <c r="Y28" s="626"/>
      <c r="Z28" s="116"/>
      <c r="AA28" s="116"/>
    </row>
    <row r="29" spans="1:27">
      <c r="A29" s="260" t="s">
        <v>676</v>
      </c>
      <c r="B29" s="529"/>
      <c r="C29" s="116">
        <v>5</v>
      </c>
      <c r="D29" s="116">
        <v>40</v>
      </c>
      <c r="E29" s="116">
        <v>-1</v>
      </c>
      <c r="F29" s="116">
        <v>60</v>
      </c>
      <c r="G29" s="109">
        <v>2</v>
      </c>
      <c r="H29" s="109">
        <v>77</v>
      </c>
      <c r="I29" s="116">
        <v>1</v>
      </c>
      <c r="J29" s="116">
        <v>-12</v>
      </c>
      <c r="K29" s="116">
        <v>2</v>
      </c>
      <c r="L29" s="626">
        <v>-18</v>
      </c>
      <c r="M29" s="626">
        <v>3</v>
      </c>
      <c r="N29" s="626">
        <v>-120</v>
      </c>
      <c r="O29" s="10">
        <v>4</v>
      </c>
      <c r="P29" s="626">
        <v>33</v>
      </c>
      <c r="Q29" s="626">
        <v>-20</v>
      </c>
      <c r="R29" s="626">
        <v>-77</v>
      </c>
      <c r="S29" s="626">
        <v>4</v>
      </c>
      <c r="T29" s="626">
        <v>13</v>
      </c>
      <c r="U29" s="626">
        <v>3</v>
      </c>
      <c r="V29" s="626">
        <v>-102</v>
      </c>
      <c r="W29" s="626">
        <v>4</v>
      </c>
      <c r="X29" s="626">
        <v>16</v>
      </c>
      <c r="Y29" s="626"/>
      <c r="Z29" s="116"/>
      <c r="AA29" s="116"/>
    </row>
    <row r="30" spans="1:27">
      <c r="A30" s="260" t="s">
        <v>210</v>
      </c>
      <c r="B30" s="529"/>
      <c r="C30" s="116">
        <v>-1</v>
      </c>
      <c r="D30" s="116">
        <v>-7</v>
      </c>
      <c r="E30" s="578">
        <v>0</v>
      </c>
      <c r="F30" s="116">
        <v>-10</v>
      </c>
      <c r="G30" s="578">
        <v>0</v>
      </c>
      <c r="H30" s="116">
        <v>-15</v>
      </c>
      <c r="I30" s="116">
        <v>0</v>
      </c>
      <c r="J30" s="116">
        <v>3</v>
      </c>
      <c r="K30" s="578">
        <v>0</v>
      </c>
      <c r="L30" s="626">
        <v>3</v>
      </c>
      <c r="M30" s="626">
        <v>-1</v>
      </c>
      <c r="N30" s="626">
        <v>23</v>
      </c>
      <c r="O30" s="626">
        <v>-1</v>
      </c>
      <c r="P30" s="626">
        <v>-6</v>
      </c>
      <c r="Q30" s="626">
        <v>4</v>
      </c>
      <c r="R30" s="626">
        <v>15</v>
      </c>
      <c r="S30" s="626">
        <v>-1</v>
      </c>
      <c r="T30" s="626">
        <v>-2</v>
      </c>
      <c r="U30" s="626">
        <v>-1</v>
      </c>
      <c r="V30" s="626">
        <v>20</v>
      </c>
      <c r="W30" s="626">
        <v>-1</v>
      </c>
      <c r="X30" s="626">
        <v>-3</v>
      </c>
      <c r="Y30" s="626"/>
      <c r="Z30" s="116"/>
      <c r="AA30" s="116"/>
    </row>
    <row r="31" spans="1:27" ht="26">
      <c r="A31" s="627" t="s">
        <v>804</v>
      </c>
      <c r="B31" s="529"/>
      <c r="C31" s="116"/>
      <c r="D31" s="116"/>
      <c r="E31" s="578"/>
      <c r="F31" s="116"/>
      <c r="G31" s="578"/>
      <c r="H31" s="116"/>
      <c r="I31" s="116"/>
      <c r="J31" s="578">
        <v>0</v>
      </c>
      <c r="K31" s="578"/>
      <c r="L31" s="626"/>
      <c r="M31" s="626"/>
      <c r="N31" s="626">
        <v>-1</v>
      </c>
      <c r="O31" s="578">
        <v>0</v>
      </c>
      <c r="P31" s="578">
        <v>0</v>
      </c>
      <c r="Q31" s="578">
        <v>0</v>
      </c>
      <c r="R31" s="578">
        <v>0</v>
      </c>
      <c r="S31" s="578">
        <v>0</v>
      </c>
      <c r="T31" s="578">
        <v>0</v>
      </c>
      <c r="U31" s="626"/>
      <c r="V31" s="578">
        <v>0</v>
      </c>
      <c r="W31" s="578">
        <v>0</v>
      </c>
      <c r="X31" s="578">
        <v>0</v>
      </c>
      <c r="Y31" s="626"/>
      <c r="Z31" s="116"/>
      <c r="AA31" s="116"/>
    </row>
    <row r="32" spans="1:27" ht="26.5">
      <c r="A32" s="571" t="s">
        <v>621</v>
      </c>
      <c r="B32" s="529"/>
      <c r="C32" s="116">
        <v>4</v>
      </c>
      <c r="D32" s="116">
        <v>33</v>
      </c>
      <c r="E32" s="116">
        <v>-1</v>
      </c>
      <c r="F32" s="116">
        <v>50</v>
      </c>
      <c r="G32" s="391">
        <v>2</v>
      </c>
      <c r="H32" s="391">
        <v>62</v>
      </c>
      <c r="I32" s="506">
        <v>1</v>
      </c>
      <c r="J32" s="506">
        <v>-9</v>
      </c>
      <c r="K32" s="506">
        <v>2</v>
      </c>
      <c r="L32" s="626">
        <v>-15</v>
      </c>
      <c r="M32" s="626">
        <v>2</v>
      </c>
      <c r="N32" s="626">
        <v>-98</v>
      </c>
      <c r="O32" s="10">
        <v>3</v>
      </c>
      <c r="P32" s="626">
        <v>27</v>
      </c>
      <c r="Q32" s="626">
        <v>-16</v>
      </c>
      <c r="R32" s="626">
        <v>-62</v>
      </c>
      <c r="S32" s="626">
        <v>3</v>
      </c>
      <c r="T32" s="626">
        <v>11</v>
      </c>
      <c r="U32" s="626">
        <v>2</v>
      </c>
      <c r="V32" s="626">
        <v>-82</v>
      </c>
      <c r="W32" s="626">
        <v>3</v>
      </c>
      <c r="X32" s="626">
        <v>13</v>
      </c>
      <c r="Y32" s="626"/>
      <c r="Z32" s="116"/>
      <c r="AA32" s="116"/>
    </row>
    <row r="33" spans="1:27">
      <c r="A33" s="571"/>
      <c r="B33" s="529"/>
      <c r="C33" s="116"/>
      <c r="D33" s="116"/>
      <c r="E33" s="116"/>
      <c r="F33" s="116"/>
      <c r="I33" s="116"/>
      <c r="J33" s="116"/>
      <c r="K33" s="116"/>
      <c r="L33" s="626"/>
      <c r="M33" s="626"/>
      <c r="N33" s="626"/>
      <c r="P33" s="626"/>
      <c r="Q33" s="10"/>
      <c r="R33" s="10"/>
      <c r="S33" s="626"/>
      <c r="T33" s="626"/>
      <c r="U33" s="626"/>
      <c r="V33" s="626"/>
      <c r="W33" s="626"/>
      <c r="X33" s="626"/>
      <c r="Y33" s="626"/>
    </row>
    <row r="34" spans="1:27" ht="26.5">
      <c r="A34" s="571" t="s">
        <v>731</v>
      </c>
      <c r="B34" s="529"/>
      <c r="C34" s="116"/>
      <c r="D34" s="116"/>
      <c r="E34" s="116"/>
      <c r="F34" s="116">
        <v>11</v>
      </c>
      <c r="G34" s="116">
        <v>-1</v>
      </c>
      <c r="H34" s="116">
        <v>12</v>
      </c>
      <c r="I34" s="116"/>
      <c r="J34" s="116">
        <v>7</v>
      </c>
      <c r="K34" s="578">
        <v>0</v>
      </c>
      <c r="L34" s="578">
        <v>0</v>
      </c>
      <c r="M34" s="578">
        <v>0</v>
      </c>
      <c r="N34" s="578">
        <v>0</v>
      </c>
      <c r="O34" s="578">
        <v>0</v>
      </c>
      <c r="P34" s="626"/>
      <c r="Q34" s="10"/>
      <c r="R34" s="10"/>
      <c r="S34" s="626"/>
      <c r="T34" s="626"/>
      <c r="U34" s="626"/>
      <c r="V34" s="626"/>
      <c r="W34" s="626"/>
      <c r="X34" s="626"/>
      <c r="Y34" s="626"/>
    </row>
    <row r="35" spans="1:27">
      <c r="A35" s="571"/>
      <c r="B35" s="529"/>
      <c r="C35" s="116"/>
      <c r="D35" s="116"/>
      <c r="F35" s="116"/>
      <c r="I35" s="116"/>
      <c r="J35" s="116"/>
      <c r="K35" s="116"/>
      <c r="L35" s="626"/>
      <c r="M35" s="626"/>
      <c r="N35" s="626"/>
      <c r="P35" s="626"/>
      <c r="Q35" s="10"/>
      <c r="R35" s="10"/>
      <c r="S35" s="626"/>
      <c r="T35" s="626"/>
      <c r="U35" s="626"/>
      <c r="V35" s="626"/>
      <c r="W35" s="626"/>
      <c r="X35" s="626"/>
      <c r="Y35" s="626"/>
    </row>
    <row r="36" spans="1:27">
      <c r="A36" s="558" t="s">
        <v>211</v>
      </c>
      <c r="B36" s="529"/>
      <c r="C36" s="116">
        <v>106</v>
      </c>
      <c r="D36" s="116">
        <v>41</v>
      </c>
      <c r="E36" s="116">
        <v>59</v>
      </c>
      <c r="F36" s="116">
        <v>274</v>
      </c>
      <c r="G36" s="109">
        <v>139</v>
      </c>
      <c r="H36" s="116">
        <v>212</v>
      </c>
      <c r="I36" s="116">
        <v>-4</v>
      </c>
      <c r="J36" s="116">
        <v>-105</v>
      </c>
      <c r="K36" s="116">
        <v>-62</v>
      </c>
      <c r="L36" s="626">
        <v>-103</v>
      </c>
      <c r="M36" s="626">
        <v>-66</v>
      </c>
      <c r="N36" s="626">
        <v>-108</v>
      </c>
      <c r="O36" s="10">
        <v>3</v>
      </c>
      <c r="P36" s="626">
        <v>3</v>
      </c>
      <c r="Q36" s="626">
        <v>-131</v>
      </c>
      <c r="R36" s="626">
        <v>-67</v>
      </c>
      <c r="S36" s="626">
        <v>-23</v>
      </c>
      <c r="T36" s="626">
        <v>-19</v>
      </c>
      <c r="U36" s="626">
        <v>-18</v>
      </c>
      <c r="V36" s="626">
        <v>-187</v>
      </c>
      <c r="W36" s="626">
        <v>63</v>
      </c>
      <c r="X36" s="626">
        <v>-25</v>
      </c>
      <c r="Y36" s="626"/>
      <c r="Z36" s="116"/>
      <c r="AA36" s="116"/>
    </row>
    <row r="37" spans="1:27">
      <c r="A37" s="558" t="s">
        <v>677</v>
      </c>
      <c r="B37" s="529"/>
      <c r="C37" s="116">
        <v>956</v>
      </c>
      <c r="D37" s="116">
        <v>-427</v>
      </c>
      <c r="E37" s="116">
        <v>174</v>
      </c>
      <c r="F37" s="116">
        <v>162</v>
      </c>
      <c r="G37" s="109">
        <v>1040</v>
      </c>
      <c r="H37" s="116">
        <v>-60</v>
      </c>
      <c r="I37" s="116">
        <v>-236</v>
      </c>
      <c r="J37" s="116">
        <v>-636</v>
      </c>
      <c r="K37" s="116">
        <f>974-549</f>
        <v>425</v>
      </c>
      <c r="L37" s="626">
        <f>737+86</f>
        <v>823</v>
      </c>
      <c r="M37" s="626">
        <f>321-21</f>
        <v>300</v>
      </c>
      <c r="N37" s="626">
        <v>-759</v>
      </c>
      <c r="O37" s="10">
        <f>534+277</f>
        <v>811</v>
      </c>
      <c r="P37" s="626">
        <f>-1371+51</f>
        <v>-1320</v>
      </c>
      <c r="Q37" s="626">
        <f>505+1</f>
        <v>506</v>
      </c>
      <c r="R37" s="626">
        <v>401</v>
      </c>
      <c r="S37" s="626">
        <v>1108</v>
      </c>
      <c r="T37" s="626">
        <v>905</v>
      </c>
      <c r="U37" s="626">
        <v>826</v>
      </c>
      <c r="V37" s="626">
        <v>229</v>
      </c>
      <c r="W37" s="626">
        <v>1042</v>
      </c>
      <c r="X37" s="626">
        <v>561</v>
      </c>
      <c r="Y37" s="626"/>
      <c r="Z37" s="116"/>
      <c r="AA37" s="116"/>
    </row>
    <row r="38" spans="1:27">
      <c r="A38" s="79" t="s">
        <v>378</v>
      </c>
      <c r="B38" s="529"/>
      <c r="D38" s="116"/>
      <c r="H38" s="116"/>
      <c r="I38" s="116"/>
      <c r="J38" s="116"/>
      <c r="K38" s="116"/>
      <c r="L38" s="626"/>
      <c r="M38" s="626"/>
      <c r="N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</row>
    <row r="39" spans="1:27">
      <c r="A39" s="86" t="s">
        <v>379</v>
      </c>
      <c r="B39" s="529"/>
      <c r="C39" s="501">
        <v>839</v>
      </c>
      <c r="D39" s="116">
        <v>-483</v>
      </c>
      <c r="E39" s="501">
        <v>101</v>
      </c>
      <c r="F39" s="501">
        <v>-119</v>
      </c>
      <c r="G39" s="109">
        <v>900</v>
      </c>
      <c r="H39" s="116">
        <v>-273</v>
      </c>
      <c r="I39" s="116">
        <v>-232</v>
      </c>
      <c r="J39" s="116">
        <v>-529</v>
      </c>
      <c r="K39" s="116">
        <f>1034-549</f>
        <v>485</v>
      </c>
      <c r="L39" s="626">
        <f>839+86</f>
        <v>925</v>
      </c>
      <c r="M39" s="626">
        <f>385-21</f>
        <v>364</v>
      </c>
      <c r="N39" s="626">
        <v>-651</v>
      </c>
      <c r="O39" s="10">
        <f>531+277</f>
        <v>808</v>
      </c>
      <c r="P39" s="626">
        <f>-1376+51</f>
        <v>-1325</v>
      </c>
      <c r="Q39" s="626">
        <f>635+1</f>
        <v>636</v>
      </c>
      <c r="R39" s="626">
        <v>466</v>
      </c>
      <c r="S39" s="626">
        <v>1130</v>
      </c>
      <c r="T39" s="626">
        <v>923</v>
      </c>
      <c r="U39" s="626">
        <v>844</v>
      </c>
      <c r="V39" s="626">
        <v>416</v>
      </c>
      <c r="W39" s="626">
        <v>979</v>
      </c>
      <c r="X39" s="626">
        <v>586</v>
      </c>
      <c r="Y39" s="626"/>
      <c r="Z39" s="116"/>
      <c r="AA39" s="116"/>
    </row>
    <row r="40" spans="1:27">
      <c r="A40" s="86" t="s">
        <v>380</v>
      </c>
      <c r="B40" s="529"/>
      <c r="C40" s="501">
        <v>12</v>
      </c>
      <c r="D40" s="116">
        <v>14</v>
      </c>
      <c r="E40" s="501">
        <v>14</v>
      </c>
      <c r="F40" s="501">
        <v>7</v>
      </c>
      <c r="G40" s="109">
        <v>1</v>
      </c>
      <c r="H40" s="109">
        <v>1</v>
      </c>
      <c r="I40" s="578">
        <v>0</v>
      </c>
      <c r="J40" s="116">
        <v>-2</v>
      </c>
      <c r="K40" s="116">
        <v>2</v>
      </c>
      <c r="L40" s="626">
        <v>1</v>
      </c>
      <c r="M40" s="626">
        <v>2</v>
      </c>
      <c r="N40" s="578">
        <v>0</v>
      </c>
      <c r="O40" s="578">
        <v>0</v>
      </c>
      <c r="P40" s="626">
        <v>2</v>
      </c>
      <c r="Q40" s="626">
        <v>1</v>
      </c>
      <c r="R40" s="626">
        <v>2</v>
      </c>
      <c r="S40" s="626">
        <v>1</v>
      </c>
      <c r="T40" s="626">
        <v>1</v>
      </c>
      <c r="U40" s="578">
        <v>0</v>
      </c>
      <c r="V40" s="578">
        <v>0</v>
      </c>
      <c r="W40" s="578">
        <v>0</v>
      </c>
      <c r="X40" s="578">
        <v>0</v>
      </c>
      <c r="Y40" s="626"/>
      <c r="Z40" s="116"/>
      <c r="AA40" s="116"/>
    </row>
    <row r="41" spans="1:27">
      <c r="A41" s="79" t="s">
        <v>215</v>
      </c>
      <c r="B41" s="529"/>
      <c r="C41" s="501"/>
      <c r="D41" s="116"/>
      <c r="E41" s="501"/>
      <c r="F41" s="501"/>
      <c r="H41" s="116"/>
      <c r="I41" s="116"/>
      <c r="J41" s="116"/>
      <c r="K41" s="116"/>
      <c r="L41" s="626"/>
      <c r="M41" s="626"/>
      <c r="N41" s="626"/>
      <c r="P41" s="626"/>
      <c r="Q41" s="626"/>
      <c r="R41" s="626"/>
      <c r="S41" s="626"/>
      <c r="T41" s="626"/>
      <c r="U41" s="626"/>
      <c r="V41" s="626"/>
      <c r="W41" s="626"/>
      <c r="X41" s="578"/>
      <c r="Y41" s="626"/>
      <c r="Z41" s="116"/>
      <c r="AA41" s="116"/>
    </row>
    <row r="42" spans="1:27">
      <c r="A42" s="86" t="s">
        <v>379</v>
      </c>
      <c r="B42" s="529"/>
      <c r="C42" s="74">
        <v>944</v>
      </c>
      <c r="D42" s="116">
        <v>-441</v>
      </c>
      <c r="E42" s="74">
        <v>160</v>
      </c>
      <c r="F42" s="74">
        <v>155</v>
      </c>
      <c r="G42" s="109">
        <v>1039</v>
      </c>
      <c r="H42" s="116">
        <v>-61</v>
      </c>
      <c r="I42" s="116">
        <v>-236</v>
      </c>
      <c r="J42" s="116">
        <v>-634</v>
      </c>
      <c r="K42" s="116">
        <f>972-549</f>
        <v>423</v>
      </c>
      <c r="L42" s="626">
        <f>736+86</f>
        <v>822</v>
      </c>
      <c r="M42" s="626">
        <f>319-21</f>
        <v>298</v>
      </c>
      <c r="N42" s="626">
        <v>-759</v>
      </c>
      <c r="O42" s="10">
        <f>534+277</f>
        <v>811</v>
      </c>
      <c r="P42" s="626">
        <f>-1373+51</f>
        <v>-1322</v>
      </c>
      <c r="Q42" s="626">
        <f>504+1</f>
        <v>505</v>
      </c>
      <c r="R42" s="626">
        <v>399</v>
      </c>
      <c r="S42" s="626">
        <v>1107</v>
      </c>
      <c r="T42" s="626">
        <v>904</v>
      </c>
      <c r="U42" s="626">
        <v>826</v>
      </c>
      <c r="V42" s="626">
        <v>229</v>
      </c>
      <c r="W42" s="626">
        <v>1042</v>
      </c>
      <c r="X42" s="626">
        <v>561</v>
      </c>
      <c r="Y42" s="626"/>
      <c r="Z42" s="116"/>
      <c r="AA42" s="116"/>
    </row>
    <row r="43" spans="1:27">
      <c r="A43" s="96" t="s">
        <v>380</v>
      </c>
      <c r="B43" s="529"/>
      <c r="C43" s="74">
        <v>12</v>
      </c>
      <c r="D43" s="116">
        <v>14</v>
      </c>
      <c r="E43" s="74">
        <v>14</v>
      </c>
      <c r="F43" s="74">
        <v>7</v>
      </c>
      <c r="G43" s="109">
        <v>1</v>
      </c>
      <c r="H43" s="109">
        <v>1</v>
      </c>
      <c r="I43" s="578">
        <v>0</v>
      </c>
      <c r="J43" s="116">
        <v>-2</v>
      </c>
      <c r="K43" s="116">
        <v>2</v>
      </c>
      <c r="L43" s="626">
        <v>1</v>
      </c>
      <c r="M43" s="626">
        <v>2</v>
      </c>
      <c r="N43" s="578">
        <v>0</v>
      </c>
      <c r="O43" s="578">
        <v>0</v>
      </c>
      <c r="P43" s="626">
        <v>2</v>
      </c>
      <c r="Q43" s="626">
        <v>1</v>
      </c>
      <c r="R43" s="626">
        <v>2</v>
      </c>
      <c r="S43" s="626">
        <v>1</v>
      </c>
      <c r="T43" s="626">
        <v>1</v>
      </c>
      <c r="U43" s="578">
        <v>0</v>
      </c>
      <c r="V43" s="578">
        <v>0</v>
      </c>
      <c r="W43" s="578">
        <v>0</v>
      </c>
      <c r="X43" s="578">
        <v>0</v>
      </c>
      <c r="Y43" s="626"/>
      <c r="Z43" s="116"/>
      <c r="AA43" s="116"/>
    </row>
    <row r="44" spans="1:27">
      <c r="A44" s="79"/>
      <c r="B44" s="529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626"/>
    </row>
    <row r="45" spans="1:27">
      <c r="A45" s="570" t="s">
        <v>679</v>
      </c>
      <c r="B45" s="529"/>
      <c r="C45" s="98">
        <v>0.48</v>
      </c>
      <c r="D45" s="98">
        <v>-0.27999999999999997</v>
      </c>
      <c r="E45" s="98">
        <v>0.06</v>
      </c>
      <c r="F45" s="98">
        <v>-7.0000000000000007E-2</v>
      </c>
      <c r="G45" s="98">
        <v>0.51353759447877789</v>
      </c>
      <c r="H45" s="98">
        <v>-0.15577307032522925</v>
      </c>
      <c r="I45" s="98">
        <v>-0.132378579910085</v>
      </c>
      <c r="J45" s="98">
        <v>-0.30184598608808166</v>
      </c>
      <c r="K45" s="98">
        <v>0.27</v>
      </c>
      <c r="L45" s="98">
        <v>0.53</v>
      </c>
      <c r="M45" s="98">
        <v>0.21</v>
      </c>
      <c r="N45" s="98">
        <v>-0.37</v>
      </c>
      <c r="O45" s="98">
        <v>0.46</v>
      </c>
      <c r="P45" s="98">
        <v>-0.76</v>
      </c>
      <c r="Q45" s="98">
        <f>0.36</f>
        <v>0.36</v>
      </c>
      <c r="R45" s="98">
        <v>0.27</v>
      </c>
      <c r="S45" s="98">
        <v>0.64477497973446563</v>
      </c>
      <c r="T45" s="98">
        <v>0.5266613330043467</v>
      </c>
      <c r="U45" s="98">
        <v>0.48158414415565376</v>
      </c>
      <c r="V45" s="98">
        <v>0.23736848811463518</v>
      </c>
      <c r="W45" s="98">
        <v>0.55861478332747061</v>
      </c>
      <c r="X45" s="98">
        <v>0.33437003373840435</v>
      </c>
      <c r="Y45" s="626"/>
      <c r="Z45" s="727"/>
      <c r="AA45" s="727"/>
    </row>
    <row r="46" spans="1:27">
      <c r="Q46" s="10"/>
      <c r="R46" s="10"/>
      <c r="T46" s="10"/>
    </row>
    <row r="47" spans="1:27" s="390" customFormat="1" ht="13">
      <c r="A47" s="392" t="s">
        <v>381</v>
      </c>
      <c r="B47" s="528"/>
      <c r="C47" s="528" t="s">
        <v>657</v>
      </c>
      <c r="D47" s="528"/>
      <c r="E47" s="577"/>
      <c r="F47" s="110"/>
    </row>
    <row r="48" spans="1:27" ht="74.25" customHeight="1">
      <c r="A48" s="569" t="s">
        <v>671</v>
      </c>
      <c r="F48" s="72" t="s">
        <v>659</v>
      </c>
      <c r="G48" s="72" t="s">
        <v>691</v>
      </c>
      <c r="H48" s="72" t="s">
        <v>700</v>
      </c>
      <c r="I48" s="72" t="s">
        <v>718</v>
      </c>
      <c r="J48" s="72" t="s">
        <v>853</v>
      </c>
      <c r="K48" s="72" t="s">
        <v>766</v>
      </c>
      <c r="L48" s="72" t="s">
        <v>778</v>
      </c>
      <c r="M48" s="72" t="s">
        <v>795</v>
      </c>
      <c r="N48" s="72" t="s">
        <v>823</v>
      </c>
      <c r="O48" s="72" t="s">
        <v>824</v>
      </c>
      <c r="P48" s="72" t="s">
        <v>830</v>
      </c>
      <c r="Q48" s="72" t="s">
        <v>842</v>
      </c>
      <c r="R48" s="72" t="s">
        <v>852</v>
      </c>
      <c r="S48" s="72" t="s">
        <v>866</v>
      </c>
      <c r="T48" s="72" t="s">
        <v>918</v>
      </c>
      <c r="U48" s="72" t="s">
        <v>933</v>
      </c>
      <c r="V48" s="72" t="s">
        <v>965</v>
      </c>
      <c r="W48" s="72" t="s">
        <v>999</v>
      </c>
      <c r="X48" s="72" t="s">
        <v>1019</v>
      </c>
    </row>
    <row r="49" spans="1:26">
      <c r="A49" s="79" t="s">
        <v>217</v>
      </c>
    </row>
    <row r="50" spans="1:26">
      <c r="A50" s="79" t="s">
        <v>218</v>
      </c>
    </row>
    <row r="51" spans="1:26">
      <c r="A51" s="79" t="s">
        <v>219</v>
      </c>
      <c r="F51" s="90">
        <v>29174</v>
      </c>
      <c r="G51" s="90">
        <v>29265</v>
      </c>
      <c r="H51" s="90">
        <v>29272</v>
      </c>
      <c r="I51" s="90">
        <v>29898</v>
      </c>
      <c r="J51" s="91">
        <v>29731</v>
      </c>
      <c r="K51" s="90">
        <v>30058</v>
      </c>
      <c r="L51" s="90">
        <v>30636</v>
      </c>
      <c r="M51" s="90">
        <v>31138</v>
      </c>
      <c r="N51" s="91">
        <v>31872</v>
      </c>
      <c r="O51" s="90">
        <v>32193</v>
      </c>
      <c r="P51" s="90">
        <v>31061</v>
      </c>
      <c r="Q51" s="90">
        <v>32224</v>
      </c>
      <c r="R51" s="105">
        <v>33247</v>
      </c>
      <c r="S51" s="105">
        <v>33764</v>
      </c>
      <c r="T51" s="105">
        <v>34343</v>
      </c>
      <c r="U51" s="105">
        <v>35131</v>
      </c>
      <c r="V51" s="105">
        <v>36566</v>
      </c>
      <c r="W51" s="105">
        <v>37105</v>
      </c>
      <c r="X51" s="105">
        <v>37744</v>
      </c>
      <c r="Z51" s="728"/>
    </row>
    <row r="52" spans="1:26">
      <c r="A52" s="79" t="s">
        <v>532</v>
      </c>
      <c r="F52" s="90">
        <v>1946</v>
      </c>
      <c r="G52" s="90">
        <v>1945</v>
      </c>
      <c r="H52" s="90">
        <v>1999</v>
      </c>
      <c r="I52" s="90">
        <v>1994</v>
      </c>
      <c r="J52" s="91">
        <v>1996</v>
      </c>
      <c r="K52" s="90">
        <v>2015</v>
      </c>
      <c r="L52" s="90">
        <v>2025</v>
      </c>
      <c r="M52" s="90">
        <v>2032</v>
      </c>
      <c r="N52" s="91">
        <v>2164</v>
      </c>
      <c r="O52" s="90">
        <v>2357</v>
      </c>
      <c r="P52" s="90">
        <v>2364</v>
      </c>
      <c r="Q52" s="90">
        <v>2506</v>
      </c>
      <c r="R52" s="105">
        <v>2495</v>
      </c>
      <c r="S52" s="105">
        <v>2499</v>
      </c>
      <c r="T52" s="105">
        <v>2514</v>
      </c>
      <c r="U52" s="105">
        <v>2541</v>
      </c>
      <c r="V52" s="105">
        <v>2591</v>
      </c>
      <c r="W52" s="105">
        <v>2683</v>
      </c>
      <c r="X52" s="105">
        <v>2766</v>
      </c>
      <c r="Z52" s="728"/>
    </row>
    <row r="53" spans="1:26">
      <c r="A53" s="79" t="s">
        <v>220</v>
      </c>
      <c r="F53" s="90">
        <v>26</v>
      </c>
      <c r="G53" s="90">
        <v>26</v>
      </c>
      <c r="H53" s="90">
        <v>26</v>
      </c>
      <c r="I53" s="90">
        <v>26</v>
      </c>
      <c r="J53" s="91">
        <v>26</v>
      </c>
      <c r="K53" s="90">
        <v>26</v>
      </c>
      <c r="L53" s="90">
        <v>26</v>
      </c>
      <c r="M53" s="90">
        <v>26</v>
      </c>
      <c r="N53" s="91">
        <v>26</v>
      </c>
      <c r="O53" s="90">
        <v>26</v>
      </c>
      <c r="P53" s="90">
        <v>26</v>
      </c>
      <c r="Q53" s="90">
        <v>26</v>
      </c>
      <c r="R53" s="105">
        <v>26</v>
      </c>
      <c r="S53" s="105">
        <v>26</v>
      </c>
      <c r="T53" s="105">
        <v>26</v>
      </c>
      <c r="U53" s="105">
        <v>26</v>
      </c>
      <c r="V53" s="105">
        <v>26</v>
      </c>
      <c r="W53" s="105">
        <v>26</v>
      </c>
      <c r="X53" s="105">
        <v>26</v>
      </c>
      <c r="Z53" s="728"/>
    </row>
    <row r="54" spans="1:26" ht="28">
      <c r="A54" s="122" t="s">
        <v>603</v>
      </c>
      <c r="F54" s="90">
        <v>444</v>
      </c>
      <c r="G54" s="389">
        <v>0</v>
      </c>
      <c r="H54" s="389">
        <v>0</v>
      </c>
      <c r="I54" s="90">
        <v>2</v>
      </c>
      <c r="J54" s="91">
        <v>55</v>
      </c>
      <c r="K54" s="389">
        <v>0</v>
      </c>
      <c r="L54" s="389">
        <v>0</v>
      </c>
      <c r="M54" s="389">
        <v>0</v>
      </c>
      <c r="N54" s="91">
        <v>24</v>
      </c>
      <c r="O54" s="90">
        <v>12</v>
      </c>
      <c r="P54" s="90">
        <v>24</v>
      </c>
      <c r="Q54" s="90">
        <v>31</v>
      </c>
      <c r="R54" s="105">
        <v>38</v>
      </c>
      <c r="S54" s="105">
        <v>5</v>
      </c>
      <c r="T54" s="105">
        <v>20</v>
      </c>
      <c r="U54" s="105">
        <v>28</v>
      </c>
      <c r="V54" s="105">
        <v>47</v>
      </c>
      <c r="W54" s="105">
        <v>5</v>
      </c>
      <c r="X54" s="105">
        <v>13</v>
      </c>
      <c r="Z54" s="728"/>
    </row>
    <row r="55" spans="1:26">
      <c r="A55" s="79" t="s">
        <v>221</v>
      </c>
      <c r="F55" s="90">
        <v>540</v>
      </c>
      <c r="G55" s="90">
        <v>551</v>
      </c>
      <c r="H55" s="90">
        <v>644</v>
      </c>
      <c r="I55" s="90">
        <v>630</v>
      </c>
      <c r="J55" s="91">
        <v>726</v>
      </c>
      <c r="K55" s="90">
        <v>716</v>
      </c>
      <c r="L55" s="90">
        <v>709</v>
      </c>
      <c r="M55" s="90">
        <v>696</v>
      </c>
      <c r="N55" s="91">
        <v>848</v>
      </c>
      <c r="O55" s="90">
        <v>813</v>
      </c>
      <c r="P55" s="90">
        <v>799</v>
      </c>
      <c r="Q55" s="90">
        <v>773</v>
      </c>
      <c r="R55" s="105">
        <v>768</v>
      </c>
      <c r="S55" s="105">
        <v>745</v>
      </c>
      <c r="T55" s="105">
        <v>756</v>
      </c>
      <c r="U55" s="105">
        <v>759</v>
      </c>
      <c r="V55" s="105">
        <v>846</v>
      </c>
      <c r="W55" s="105">
        <v>811</v>
      </c>
      <c r="X55" s="105">
        <v>803</v>
      </c>
      <c r="Z55" s="728"/>
    </row>
    <row r="56" spans="1:26">
      <c r="A56" s="79" t="s">
        <v>222</v>
      </c>
      <c r="F56" s="90">
        <v>597</v>
      </c>
      <c r="G56" s="90">
        <v>631</v>
      </c>
      <c r="H56" s="90">
        <v>652</v>
      </c>
      <c r="I56" s="90">
        <v>699</v>
      </c>
      <c r="J56" s="91">
        <v>682</v>
      </c>
      <c r="K56" s="90">
        <v>716</v>
      </c>
      <c r="L56" s="90">
        <v>736</v>
      </c>
      <c r="M56" s="90">
        <v>771</v>
      </c>
      <c r="N56" s="91">
        <v>169</v>
      </c>
      <c r="O56" s="90">
        <v>191</v>
      </c>
      <c r="P56" s="90">
        <v>190</v>
      </c>
      <c r="Q56" s="90">
        <v>192</v>
      </c>
      <c r="R56" s="105">
        <v>190</v>
      </c>
      <c r="S56" s="105">
        <v>197</v>
      </c>
      <c r="T56" s="105">
        <v>212</v>
      </c>
      <c r="U56" s="105">
        <v>230</v>
      </c>
      <c r="V56" s="105">
        <v>239</v>
      </c>
      <c r="W56" s="105">
        <v>269</v>
      </c>
      <c r="X56" s="105">
        <v>277</v>
      </c>
      <c r="Z56" s="728"/>
    </row>
    <row r="57" spans="1:26">
      <c r="A57" s="79" t="s">
        <v>223</v>
      </c>
      <c r="F57" s="90">
        <v>99</v>
      </c>
      <c r="G57" s="90">
        <v>215</v>
      </c>
      <c r="H57" s="90">
        <v>199</v>
      </c>
      <c r="I57" s="90">
        <v>198</v>
      </c>
      <c r="J57" s="91">
        <v>206</v>
      </c>
      <c r="K57" s="90">
        <v>215</v>
      </c>
      <c r="L57" s="90">
        <v>220</v>
      </c>
      <c r="M57" s="90">
        <v>222</v>
      </c>
      <c r="N57" s="91">
        <v>357</v>
      </c>
      <c r="O57" s="90">
        <v>368</v>
      </c>
      <c r="P57" s="90">
        <v>448</v>
      </c>
      <c r="Q57" s="90">
        <v>459</v>
      </c>
      <c r="R57" s="105">
        <v>479</v>
      </c>
      <c r="S57" s="105">
        <v>491</v>
      </c>
      <c r="T57" s="105">
        <v>512</v>
      </c>
      <c r="U57" s="105">
        <v>523</v>
      </c>
      <c r="V57" s="105">
        <v>494</v>
      </c>
      <c r="W57" s="105">
        <v>505</v>
      </c>
      <c r="X57" s="105">
        <v>567</v>
      </c>
      <c r="Z57" s="728"/>
    </row>
    <row r="58" spans="1:26">
      <c r="A58" s="79" t="s">
        <v>385</v>
      </c>
      <c r="F58" s="90">
        <v>532</v>
      </c>
      <c r="G58" s="90">
        <v>554</v>
      </c>
      <c r="H58" s="90">
        <v>690</v>
      </c>
      <c r="I58" s="90">
        <v>790</v>
      </c>
      <c r="J58" s="91">
        <v>390</v>
      </c>
      <c r="K58" s="90">
        <v>340</v>
      </c>
      <c r="L58" s="90">
        <v>244</v>
      </c>
      <c r="M58" s="90">
        <v>251</v>
      </c>
      <c r="N58" s="91">
        <v>149</v>
      </c>
      <c r="O58" s="90">
        <v>206</v>
      </c>
      <c r="P58" s="90">
        <v>180</v>
      </c>
      <c r="Q58" s="90">
        <v>170</v>
      </c>
      <c r="R58" s="105">
        <v>90</v>
      </c>
      <c r="S58" s="105">
        <v>93</v>
      </c>
      <c r="T58" s="105">
        <v>73</v>
      </c>
      <c r="U58" s="105">
        <v>74</v>
      </c>
      <c r="V58" s="105">
        <v>45</v>
      </c>
      <c r="W58" s="105">
        <v>65</v>
      </c>
      <c r="X58" s="105">
        <v>43</v>
      </c>
      <c r="Z58" s="728"/>
    </row>
    <row r="59" spans="1:26">
      <c r="A59" s="79" t="s">
        <v>224</v>
      </c>
      <c r="F59" s="90">
        <v>215</v>
      </c>
      <c r="G59" s="90">
        <v>227</v>
      </c>
      <c r="H59" s="90">
        <v>232</v>
      </c>
      <c r="I59" s="90">
        <v>228</v>
      </c>
      <c r="J59" s="91">
        <v>301</v>
      </c>
      <c r="K59" s="90">
        <v>236</v>
      </c>
      <c r="L59" s="90">
        <v>239</v>
      </c>
      <c r="M59" s="90">
        <v>242</v>
      </c>
      <c r="N59" s="91">
        <v>278</v>
      </c>
      <c r="O59" s="90">
        <v>273</v>
      </c>
      <c r="P59" s="90">
        <v>262</v>
      </c>
      <c r="Q59" s="90">
        <v>271</v>
      </c>
      <c r="R59" s="105">
        <v>259</v>
      </c>
      <c r="S59" s="105">
        <v>258</v>
      </c>
      <c r="T59" s="105">
        <v>262</v>
      </c>
      <c r="U59" s="105">
        <v>246</v>
      </c>
      <c r="V59" s="105">
        <v>233</v>
      </c>
      <c r="W59" s="105">
        <v>232</v>
      </c>
      <c r="X59" s="105">
        <v>234</v>
      </c>
      <c r="Z59" s="728"/>
    </row>
    <row r="60" spans="1:26">
      <c r="A60" s="79" t="s">
        <v>225</v>
      </c>
      <c r="F60" s="90">
        <v>159</v>
      </c>
      <c r="G60" s="90">
        <v>173</v>
      </c>
      <c r="H60" s="90">
        <v>272</v>
      </c>
      <c r="I60" s="90">
        <v>118</v>
      </c>
      <c r="J60" s="91">
        <v>268</v>
      </c>
      <c r="K60" s="90">
        <v>268</v>
      </c>
      <c r="L60" s="90">
        <v>322</v>
      </c>
      <c r="M60" s="90">
        <v>550</v>
      </c>
      <c r="N60" s="91">
        <v>707</v>
      </c>
      <c r="O60" s="90">
        <v>782</v>
      </c>
      <c r="P60" s="90">
        <v>892</v>
      </c>
      <c r="Q60" s="90">
        <v>465</v>
      </c>
      <c r="R60" s="105">
        <v>333</v>
      </c>
      <c r="S60" s="105">
        <v>632</v>
      </c>
      <c r="T60" s="105">
        <v>750</v>
      </c>
      <c r="U60" s="105">
        <v>920</v>
      </c>
      <c r="V60" s="105">
        <v>980</v>
      </c>
      <c r="W60" s="105">
        <v>986</v>
      </c>
      <c r="X60" s="105">
        <v>1055</v>
      </c>
      <c r="Z60" s="728"/>
    </row>
    <row r="61" spans="1:26" ht="13">
      <c r="A61" s="83" t="s">
        <v>382</v>
      </c>
      <c r="F61" s="92">
        <v>123</v>
      </c>
      <c r="G61" s="92">
        <v>858</v>
      </c>
      <c r="H61" s="92">
        <v>1212</v>
      </c>
      <c r="I61" s="92">
        <v>1382</v>
      </c>
      <c r="J61" s="84">
        <v>672</v>
      </c>
      <c r="K61" s="92">
        <v>791</v>
      </c>
      <c r="L61" s="92">
        <v>532</v>
      </c>
      <c r="M61" s="92">
        <v>570</v>
      </c>
      <c r="N61" s="84">
        <v>759</v>
      </c>
      <c r="O61" s="92">
        <v>835</v>
      </c>
      <c r="P61" s="92">
        <v>369</v>
      </c>
      <c r="Q61" s="92">
        <v>341</v>
      </c>
      <c r="R61" s="111">
        <v>144</v>
      </c>
      <c r="S61" s="111">
        <v>156</v>
      </c>
      <c r="T61" s="111">
        <v>154</v>
      </c>
      <c r="U61" s="111">
        <v>157</v>
      </c>
      <c r="V61" s="111">
        <v>46</v>
      </c>
      <c r="W61" s="111">
        <v>49</v>
      </c>
      <c r="X61" s="111">
        <v>52</v>
      </c>
      <c r="Z61" s="728"/>
    </row>
    <row r="62" spans="1:26" ht="13">
      <c r="A62" s="99"/>
      <c r="F62" s="90">
        <v>33855</v>
      </c>
      <c r="G62" s="90">
        <v>34445</v>
      </c>
      <c r="H62" s="90">
        <v>35198</v>
      </c>
      <c r="I62" s="90">
        <v>35965</v>
      </c>
      <c r="J62" s="74">
        <v>35053</v>
      </c>
      <c r="K62" s="90">
        <v>35381</v>
      </c>
      <c r="L62" s="90">
        <v>35689</v>
      </c>
      <c r="M62" s="90">
        <v>36498</v>
      </c>
      <c r="N62" s="74">
        <v>37353</v>
      </c>
      <c r="O62" s="90">
        <v>38056</v>
      </c>
      <c r="P62" s="90">
        <v>36615</v>
      </c>
      <c r="Q62" s="90">
        <v>37458</v>
      </c>
      <c r="R62" s="105">
        <v>38069</v>
      </c>
      <c r="S62" s="105">
        <v>38866</v>
      </c>
      <c r="T62" s="105">
        <v>39622</v>
      </c>
      <c r="U62" s="105">
        <v>40635</v>
      </c>
      <c r="V62" s="105">
        <v>42113</v>
      </c>
      <c r="W62" s="105">
        <v>42736</v>
      </c>
      <c r="X62" s="105">
        <v>43580</v>
      </c>
      <c r="Z62" s="728"/>
    </row>
    <row r="63" spans="1:26">
      <c r="A63" s="79" t="s">
        <v>227</v>
      </c>
      <c r="H63" s="579"/>
      <c r="I63" s="579"/>
      <c r="J63" s="71"/>
      <c r="N63" s="71"/>
      <c r="R63" s="71"/>
    </row>
    <row r="64" spans="1:26" ht="28">
      <c r="A64" s="122" t="s">
        <v>602</v>
      </c>
      <c r="F64" s="90">
        <v>157</v>
      </c>
      <c r="G64" s="90">
        <v>970</v>
      </c>
      <c r="H64" s="90">
        <v>576</v>
      </c>
      <c r="I64" s="90">
        <v>280</v>
      </c>
      <c r="J64" s="91">
        <v>597</v>
      </c>
      <c r="K64" s="109">
        <v>1360</v>
      </c>
      <c r="L64" s="109">
        <v>395</v>
      </c>
      <c r="M64" s="109">
        <v>190</v>
      </c>
      <c r="N64" s="74">
        <v>702</v>
      </c>
      <c r="O64" s="579">
        <v>1141</v>
      </c>
      <c r="P64" s="579">
        <v>527</v>
      </c>
      <c r="Q64" s="579">
        <v>219</v>
      </c>
      <c r="R64" s="105">
        <v>360</v>
      </c>
      <c r="S64" s="105">
        <v>1352</v>
      </c>
      <c r="T64" s="105">
        <v>738</v>
      </c>
      <c r="U64" s="105">
        <v>219</v>
      </c>
      <c r="V64" s="105">
        <v>227</v>
      </c>
      <c r="W64" s="105">
        <v>258</v>
      </c>
      <c r="X64" s="105">
        <v>98</v>
      </c>
    </row>
    <row r="65" spans="1:24">
      <c r="A65" s="79" t="s">
        <v>228</v>
      </c>
      <c r="F65" s="90">
        <v>543</v>
      </c>
      <c r="G65" s="90">
        <v>524</v>
      </c>
      <c r="H65" s="90">
        <v>577</v>
      </c>
      <c r="I65" s="90">
        <v>695</v>
      </c>
      <c r="J65" s="91">
        <v>1118</v>
      </c>
      <c r="K65" s="109">
        <v>1709</v>
      </c>
      <c r="L65" s="109">
        <v>1638</v>
      </c>
      <c r="M65" s="109">
        <v>1631</v>
      </c>
      <c r="N65" s="74">
        <v>1483</v>
      </c>
      <c r="O65" s="579">
        <v>1404</v>
      </c>
      <c r="P65" s="579">
        <v>1184</v>
      </c>
      <c r="Q65" s="579">
        <v>1084</v>
      </c>
      <c r="R65" s="105">
        <v>937</v>
      </c>
      <c r="S65" s="105">
        <v>823</v>
      </c>
      <c r="T65" s="105">
        <v>754</v>
      </c>
      <c r="U65" s="105">
        <v>678</v>
      </c>
      <c r="V65" s="105">
        <v>807</v>
      </c>
      <c r="W65" s="105">
        <v>771</v>
      </c>
      <c r="X65" s="105">
        <v>733</v>
      </c>
    </row>
    <row r="66" spans="1:24">
      <c r="A66" s="79" t="s">
        <v>229</v>
      </c>
      <c r="F66" s="90">
        <v>3322</v>
      </c>
      <c r="G66" s="90">
        <v>3945</v>
      </c>
      <c r="H66" s="90">
        <v>3519</v>
      </c>
      <c r="I66" s="90">
        <v>3513</v>
      </c>
      <c r="J66" s="91">
        <f>3819-44</f>
        <v>3775</v>
      </c>
      <c r="K66" s="109">
        <v>6212</v>
      </c>
      <c r="L66" s="109">
        <v>4741</v>
      </c>
      <c r="M66" s="109">
        <v>4807</v>
      </c>
      <c r="N66" s="74">
        <f>5341-660</f>
        <v>4681</v>
      </c>
      <c r="O66" s="579">
        <v>4429</v>
      </c>
      <c r="P66" s="579">
        <v>4041</v>
      </c>
      <c r="Q66" s="579">
        <v>3871</v>
      </c>
      <c r="R66" s="105">
        <v>4089</v>
      </c>
      <c r="S66" s="105">
        <v>4297</v>
      </c>
      <c r="T66" s="105">
        <v>3525</v>
      </c>
      <c r="U66" s="105">
        <v>3455</v>
      </c>
      <c r="V66" s="105">
        <v>4056</v>
      </c>
      <c r="W66" s="105">
        <v>4259</v>
      </c>
      <c r="X66" s="105">
        <v>3692</v>
      </c>
    </row>
    <row r="67" spans="1:24">
      <c r="A67" s="79" t="s">
        <v>383</v>
      </c>
      <c r="F67" s="90">
        <v>415</v>
      </c>
      <c r="G67" s="90">
        <v>515</v>
      </c>
      <c r="H67" s="90">
        <v>158</v>
      </c>
      <c r="I67" s="90">
        <v>118</v>
      </c>
      <c r="J67" s="91">
        <v>518</v>
      </c>
      <c r="K67" s="109">
        <v>580</v>
      </c>
      <c r="L67" s="109">
        <v>210</v>
      </c>
      <c r="M67" s="109">
        <v>150</v>
      </c>
      <c r="N67" s="74">
        <v>105</v>
      </c>
      <c r="O67" s="579">
        <v>110</v>
      </c>
      <c r="P67" s="579">
        <v>36</v>
      </c>
      <c r="Q67" s="579">
        <v>192</v>
      </c>
      <c r="R67" s="105">
        <v>130</v>
      </c>
      <c r="S67" s="105">
        <v>149</v>
      </c>
      <c r="T67" s="105">
        <v>80</v>
      </c>
      <c r="U67" s="105">
        <v>62</v>
      </c>
      <c r="V67" s="105">
        <v>63</v>
      </c>
      <c r="W67" s="105">
        <v>66</v>
      </c>
      <c r="X67" s="105">
        <v>3</v>
      </c>
    </row>
    <row r="68" spans="1:24">
      <c r="A68" s="79" t="s">
        <v>230</v>
      </c>
      <c r="F68" s="109">
        <v>292</v>
      </c>
      <c r="G68" s="109">
        <v>576</v>
      </c>
      <c r="H68" s="109">
        <v>578</v>
      </c>
      <c r="I68" s="109">
        <v>634</v>
      </c>
      <c r="J68" s="91">
        <v>803</v>
      </c>
      <c r="K68" s="109">
        <v>693</v>
      </c>
      <c r="L68" s="109">
        <v>443</v>
      </c>
      <c r="M68" s="109">
        <v>544</v>
      </c>
      <c r="N68" s="74">
        <v>794</v>
      </c>
      <c r="O68" s="579">
        <v>468</v>
      </c>
      <c r="P68" s="579">
        <v>421</v>
      </c>
      <c r="Q68" s="579">
        <v>878</v>
      </c>
      <c r="R68" s="104">
        <v>459</v>
      </c>
      <c r="S68" s="104">
        <v>665</v>
      </c>
      <c r="T68" s="104">
        <v>462</v>
      </c>
      <c r="U68" s="104">
        <v>609</v>
      </c>
      <c r="V68" s="104">
        <v>441</v>
      </c>
      <c r="W68" s="104">
        <v>372</v>
      </c>
      <c r="X68" s="104">
        <v>219</v>
      </c>
    </row>
    <row r="69" spans="1:24">
      <c r="A69" s="79" t="s">
        <v>223</v>
      </c>
      <c r="F69" s="389">
        <v>0</v>
      </c>
      <c r="G69" s="389">
        <v>0</v>
      </c>
      <c r="H69" s="389">
        <v>0</v>
      </c>
      <c r="I69" s="389">
        <v>0</v>
      </c>
      <c r="J69" s="120">
        <v>0</v>
      </c>
      <c r="K69" s="389">
        <v>0</v>
      </c>
      <c r="L69" s="389">
        <v>0</v>
      </c>
      <c r="M69" s="389">
        <v>0</v>
      </c>
      <c r="N69" s="120">
        <v>0</v>
      </c>
      <c r="O69" s="389">
        <v>0</v>
      </c>
      <c r="P69" s="389">
        <v>0</v>
      </c>
      <c r="Q69" s="104">
        <v>0</v>
      </c>
      <c r="R69" s="105">
        <v>0</v>
      </c>
      <c r="S69" s="105">
        <v>0</v>
      </c>
      <c r="T69" s="105">
        <v>0</v>
      </c>
      <c r="U69" s="105">
        <v>0</v>
      </c>
      <c r="V69" s="105">
        <v>0</v>
      </c>
      <c r="W69" s="105">
        <v>0</v>
      </c>
      <c r="X69" s="105">
        <v>0</v>
      </c>
    </row>
    <row r="70" spans="1:24">
      <c r="A70" s="79" t="s">
        <v>680</v>
      </c>
      <c r="F70" s="90">
        <v>465</v>
      </c>
      <c r="G70" s="90">
        <v>628</v>
      </c>
      <c r="H70" s="90">
        <v>943</v>
      </c>
      <c r="I70" s="90">
        <v>1270</v>
      </c>
      <c r="J70" s="91">
        <v>459</v>
      </c>
      <c r="K70" s="109">
        <v>389</v>
      </c>
      <c r="L70" s="109">
        <v>345</v>
      </c>
      <c r="M70" s="109">
        <v>401</v>
      </c>
      <c r="N70" s="91">
        <v>275</v>
      </c>
      <c r="O70" s="579">
        <v>410</v>
      </c>
      <c r="P70" s="579">
        <v>369</v>
      </c>
      <c r="Q70" s="579">
        <v>370</v>
      </c>
      <c r="R70" s="105">
        <v>159</v>
      </c>
      <c r="S70" s="105">
        <v>177</v>
      </c>
      <c r="T70" s="105">
        <v>141</v>
      </c>
      <c r="U70" s="105">
        <v>132</v>
      </c>
      <c r="V70" s="105">
        <v>63</v>
      </c>
      <c r="W70" s="105">
        <v>55</v>
      </c>
      <c r="X70" s="105">
        <v>48</v>
      </c>
    </row>
    <row r="71" spans="1:24">
      <c r="A71" s="79" t="s">
        <v>224</v>
      </c>
      <c r="F71" s="90">
        <v>89</v>
      </c>
      <c r="G71" s="90">
        <v>112</v>
      </c>
      <c r="H71" s="90">
        <v>121</v>
      </c>
      <c r="I71" s="90">
        <v>209</v>
      </c>
      <c r="J71" s="91">
        <v>478</v>
      </c>
      <c r="K71" s="109">
        <v>2856</v>
      </c>
      <c r="L71" s="109">
        <v>2451</v>
      </c>
      <c r="M71" s="109">
        <v>2299</v>
      </c>
      <c r="N71" s="91">
        <v>2449</v>
      </c>
      <c r="O71" s="579">
        <v>1473</v>
      </c>
      <c r="P71" s="579">
        <v>921</v>
      </c>
      <c r="Q71" s="579">
        <v>890</v>
      </c>
      <c r="R71" s="105">
        <v>743</v>
      </c>
      <c r="S71" s="105">
        <v>360</v>
      </c>
      <c r="T71" s="105">
        <v>285</v>
      </c>
      <c r="U71" s="105">
        <v>317</v>
      </c>
      <c r="V71" s="105">
        <v>320</v>
      </c>
      <c r="W71" s="105">
        <v>50</v>
      </c>
      <c r="X71" s="105">
        <v>58</v>
      </c>
    </row>
    <row r="72" spans="1:24">
      <c r="A72" s="117" t="s">
        <v>225</v>
      </c>
      <c r="F72" s="90">
        <v>112</v>
      </c>
      <c r="G72" s="90">
        <v>152</v>
      </c>
      <c r="H72" s="90">
        <v>124</v>
      </c>
      <c r="I72" s="90">
        <v>839</v>
      </c>
      <c r="J72" s="91">
        <v>790</v>
      </c>
      <c r="K72" s="109">
        <v>489</v>
      </c>
      <c r="L72" s="109">
        <v>534</v>
      </c>
      <c r="M72" s="109">
        <v>377</v>
      </c>
      <c r="N72" s="91">
        <v>207</v>
      </c>
      <c r="O72" s="579">
        <v>397</v>
      </c>
      <c r="P72" s="579">
        <v>391</v>
      </c>
      <c r="Q72" s="579">
        <v>266</v>
      </c>
      <c r="R72" s="105">
        <v>167</v>
      </c>
      <c r="S72" s="105">
        <v>248</v>
      </c>
      <c r="T72" s="105">
        <v>203</v>
      </c>
      <c r="U72" s="105">
        <v>128</v>
      </c>
      <c r="V72" s="105">
        <v>133</v>
      </c>
      <c r="W72" s="105">
        <v>219</v>
      </c>
      <c r="X72" s="105">
        <v>178</v>
      </c>
    </row>
    <row r="73" spans="1:24">
      <c r="A73" s="79" t="s">
        <v>231</v>
      </c>
      <c r="F73" s="90">
        <v>815</v>
      </c>
      <c r="G73" s="90">
        <v>1272</v>
      </c>
      <c r="H73" s="90">
        <v>874</v>
      </c>
      <c r="I73" s="90">
        <v>964</v>
      </c>
      <c r="J73" s="91">
        <v>1678</v>
      </c>
      <c r="K73" s="109">
        <v>1350</v>
      </c>
      <c r="L73" s="109">
        <v>1247</v>
      </c>
      <c r="M73" s="109">
        <v>1994</v>
      </c>
      <c r="N73" s="91">
        <v>1084</v>
      </c>
      <c r="O73" s="579">
        <v>1106</v>
      </c>
      <c r="P73" s="579">
        <v>489</v>
      </c>
      <c r="Q73" s="579">
        <v>565</v>
      </c>
      <c r="R73" s="105">
        <v>596</v>
      </c>
      <c r="S73" s="105">
        <v>1730</v>
      </c>
      <c r="T73" s="105">
        <v>412</v>
      </c>
      <c r="U73" s="105">
        <v>516</v>
      </c>
      <c r="V73" s="105">
        <v>489</v>
      </c>
      <c r="W73" s="105">
        <v>1037</v>
      </c>
      <c r="X73" s="105">
        <v>2660</v>
      </c>
    </row>
    <row r="74" spans="1:24" ht="13">
      <c r="A74" s="261" t="s">
        <v>601</v>
      </c>
      <c r="F74" s="397">
        <v>10</v>
      </c>
      <c r="G74" s="397">
        <v>9</v>
      </c>
      <c r="H74" s="397">
        <v>8</v>
      </c>
      <c r="I74" s="397">
        <v>8</v>
      </c>
      <c r="J74" s="84">
        <v>7</v>
      </c>
      <c r="K74" s="397">
        <v>7</v>
      </c>
      <c r="L74" s="397">
        <v>7</v>
      </c>
      <c r="M74" s="397">
        <v>7</v>
      </c>
      <c r="N74" s="84">
        <v>5</v>
      </c>
      <c r="O74" s="397">
        <v>5</v>
      </c>
      <c r="P74" s="397">
        <v>6</v>
      </c>
      <c r="Q74" s="397">
        <v>4</v>
      </c>
      <c r="R74" s="105">
        <v>5</v>
      </c>
      <c r="S74" s="105">
        <v>5</v>
      </c>
      <c r="T74" s="105">
        <v>5</v>
      </c>
      <c r="U74" s="105">
        <v>6</v>
      </c>
      <c r="V74" s="105">
        <v>5</v>
      </c>
      <c r="W74" s="105">
        <v>4</v>
      </c>
      <c r="X74" s="105">
        <v>4</v>
      </c>
    </row>
    <row r="75" spans="1:24">
      <c r="A75" s="79"/>
      <c r="F75" s="90">
        <v>6220</v>
      </c>
      <c r="G75" s="90">
        <v>8703</v>
      </c>
      <c r="H75" s="90">
        <v>7478</v>
      </c>
      <c r="I75" s="90">
        <v>8530</v>
      </c>
      <c r="J75" s="91">
        <f>10267-44</f>
        <v>10223</v>
      </c>
      <c r="K75" s="90">
        <v>15645</v>
      </c>
      <c r="L75" s="90">
        <v>12011</v>
      </c>
      <c r="M75" s="90">
        <v>12400</v>
      </c>
      <c r="N75" s="91">
        <f>12445-660</f>
        <v>11785</v>
      </c>
      <c r="O75" s="90">
        <v>10943</v>
      </c>
      <c r="P75" s="90">
        <v>8385</v>
      </c>
      <c r="Q75" s="90">
        <v>8339</v>
      </c>
      <c r="R75" s="112">
        <v>7645</v>
      </c>
      <c r="S75" s="112">
        <v>9806</v>
      </c>
      <c r="T75" s="112">
        <v>6605</v>
      </c>
      <c r="U75" s="112">
        <v>6122</v>
      </c>
      <c r="V75" s="112">
        <v>6604</v>
      </c>
      <c r="W75" s="112">
        <v>7091</v>
      </c>
      <c r="X75" s="112">
        <v>7693</v>
      </c>
    </row>
    <row r="76" spans="1:24">
      <c r="A76" s="79"/>
      <c r="F76" s="504"/>
      <c r="H76" s="579"/>
      <c r="I76" s="579"/>
      <c r="J76" s="91"/>
      <c r="K76" s="579"/>
      <c r="N76" s="91"/>
      <c r="Q76" s="10"/>
      <c r="R76" s="71"/>
    </row>
    <row r="77" spans="1:24" ht="13">
      <c r="A77" s="73" t="s">
        <v>232</v>
      </c>
      <c r="F77" s="100">
        <v>40075</v>
      </c>
      <c r="G77" s="100">
        <v>43148</v>
      </c>
      <c r="H77" s="100">
        <v>42676</v>
      </c>
      <c r="I77" s="100">
        <v>44495</v>
      </c>
      <c r="J77" s="100">
        <f>45320-44</f>
        <v>45276</v>
      </c>
      <c r="K77" s="100">
        <v>51026</v>
      </c>
      <c r="L77" s="100">
        <v>47700</v>
      </c>
      <c r="M77" s="100">
        <v>48898</v>
      </c>
      <c r="N77" s="100">
        <f>49798-660</f>
        <v>49138</v>
      </c>
      <c r="O77" s="100">
        <v>48999</v>
      </c>
      <c r="P77" s="100">
        <v>45000</v>
      </c>
      <c r="Q77" s="100">
        <v>45797</v>
      </c>
      <c r="R77" s="107">
        <v>45714</v>
      </c>
      <c r="S77" s="107">
        <v>48672</v>
      </c>
      <c r="T77" s="107">
        <v>46227</v>
      </c>
      <c r="U77" s="107">
        <v>46757</v>
      </c>
      <c r="V77" s="107">
        <v>48717</v>
      </c>
      <c r="W77" s="107">
        <v>49827</v>
      </c>
      <c r="X77" s="107">
        <v>51273</v>
      </c>
    </row>
    <row r="78" spans="1:24">
      <c r="A78" s="79"/>
      <c r="F78" s="82"/>
      <c r="G78" s="82"/>
      <c r="H78" s="82"/>
      <c r="I78" s="82"/>
      <c r="J78" s="132"/>
      <c r="K78" s="82"/>
      <c r="N78" s="132"/>
      <c r="R78" s="71"/>
    </row>
    <row r="79" spans="1:24">
      <c r="A79" s="95" t="s">
        <v>233</v>
      </c>
      <c r="H79" s="579"/>
      <c r="J79" s="71"/>
      <c r="N79" s="71"/>
      <c r="R79" s="71"/>
    </row>
    <row r="80" spans="1:24">
      <c r="A80" s="250" t="s">
        <v>384</v>
      </c>
      <c r="H80" s="579"/>
      <c r="J80" s="71"/>
      <c r="N80" s="71"/>
      <c r="R80" s="71"/>
    </row>
    <row r="81" spans="1:24">
      <c r="A81" s="79" t="s">
        <v>235</v>
      </c>
      <c r="F81" s="90">
        <v>8763</v>
      </c>
      <c r="G81" s="90">
        <v>8763</v>
      </c>
      <c r="H81" s="90">
        <v>8763</v>
      </c>
      <c r="I81" s="90">
        <v>8763</v>
      </c>
      <c r="J81" s="91">
        <v>8763</v>
      </c>
      <c r="K81" s="90">
        <v>8763</v>
      </c>
      <c r="L81" s="90">
        <v>8763</v>
      </c>
      <c r="M81" s="90">
        <v>8763</v>
      </c>
      <c r="N81" s="91">
        <v>8763</v>
      </c>
      <c r="O81" s="90">
        <v>8763</v>
      </c>
      <c r="P81" s="90">
        <v>8763</v>
      </c>
      <c r="Q81" s="90">
        <v>8763</v>
      </c>
      <c r="R81" s="105">
        <v>8763</v>
      </c>
      <c r="S81" s="105">
        <v>8763</v>
      </c>
      <c r="T81" s="105">
        <v>8763</v>
      </c>
      <c r="U81" s="105">
        <v>8763</v>
      </c>
      <c r="V81" s="105">
        <v>8763</v>
      </c>
      <c r="W81" s="105">
        <v>8763</v>
      </c>
      <c r="X81" s="105">
        <v>8763</v>
      </c>
    </row>
    <row r="82" spans="1:24">
      <c r="A82" s="79" t="s">
        <v>236</v>
      </c>
      <c r="F82" s="90">
        <v>2749</v>
      </c>
      <c r="G82" s="90">
        <v>2749</v>
      </c>
      <c r="H82" s="90">
        <v>3009</v>
      </c>
      <c r="I82" s="90">
        <v>3009</v>
      </c>
      <c r="J82" s="91">
        <v>3009</v>
      </c>
      <c r="K82" s="90">
        <v>3009</v>
      </c>
      <c r="L82" s="90">
        <v>3076</v>
      </c>
      <c r="M82" s="90">
        <v>3076</v>
      </c>
      <c r="N82" s="91">
        <v>3076</v>
      </c>
      <c r="O82" s="90">
        <v>3076</v>
      </c>
      <c r="P82" s="90">
        <v>2438</v>
      </c>
      <c r="Q82" s="90">
        <v>2438</v>
      </c>
      <c r="R82" s="105">
        <v>2438</v>
      </c>
      <c r="S82" s="105">
        <v>2438</v>
      </c>
      <c r="T82" s="105">
        <v>2948</v>
      </c>
      <c r="U82" s="105">
        <v>2948</v>
      </c>
      <c r="V82" s="105">
        <v>2948</v>
      </c>
      <c r="W82" s="105">
        <v>2948</v>
      </c>
      <c r="X82" s="105">
        <v>5905</v>
      </c>
    </row>
    <row r="83" spans="1:24">
      <c r="A83" s="79" t="s">
        <v>237</v>
      </c>
      <c r="F83" s="76">
        <v>299</v>
      </c>
      <c r="G83" s="76">
        <v>428</v>
      </c>
      <c r="H83" s="76">
        <v>568</v>
      </c>
      <c r="I83" s="76">
        <v>547</v>
      </c>
      <c r="J83" s="91">
        <v>450</v>
      </c>
      <c r="K83" s="76">
        <v>377</v>
      </c>
      <c r="L83" s="76">
        <v>309</v>
      </c>
      <c r="M83" s="76">
        <v>238</v>
      </c>
      <c r="N83" s="91">
        <v>218</v>
      </c>
      <c r="O83" s="76">
        <v>212</v>
      </c>
      <c r="P83" s="76">
        <v>191</v>
      </c>
      <c r="Q83" s="76">
        <v>144</v>
      </c>
      <c r="R83" s="105">
        <v>139</v>
      </c>
      <c r="S83" s="105">
        <v>113</v>
      </c>
      <c r="T83" s="105">
        <v>83</v>
      </c>
      <c r="U83" s="105">
        <v>62</v>
      </c>
      <c r="V83" s="105">
        <v>-42</v>
      </c>
      <c r="W83" s="105">
        <v>19</v>
      </c>
      <c r="X83" s="105">
        <v>-19</v>
      </c>
    </row>
    <row r="84" spans="1:24">
      <c r="A84" s="79" t="s">
        <v>209</v>
      </c>
      <c r="F84" s="90">
        <v>43</v>
      </c>
      <c r="G84" s="90">
        <v>52</v>
      </c>
      <c r="H84" s="90">
        <v>50</v>
      </c>
      <c r="I84" s="90">
        <v>66</v>
      </c>
      <c r="J84" s="91">
        <v>60</v>
      </c>
      <c r="K84" s="90">
        <v>69</v>
      </c>
      <c r="L84" s="90">
        <v>49</v>
      </c>
      <c r="M84" s="90">
        <v>52</v>
      </c>
      <c r="N84" s="91">
        <v>62</v>
      </c>
      <c r="O84" s="90">
        <v>68</v>
      </c>
      <c r="P84" s="90">
        <v>65</v>
      </c>
      <c r="Q84" s="626">
        <v>-3</v>
      </c>
      <c r="R84" s="626">
        <v>-3</v>
      </c>
      <c r="S84" s="626">
        <v>-3</v>
      </c>
      <c r="T84" s="626">
        <v>-3</v>
      </c>
      <c r="U84" s="626">
        <v>-2</v>
      </c>
      <c r="V84" s="626">
        <v>-2</v>
      </c>
      <c r="W84" s="626">
        <v>-2</v>
      </c>
      <c r="X84" s="626">
        <v>-1</v>
      </c>
    </row>
    <row r="85" spans="1:24" ht="13">
      <c r="A85" s="80" t="s">
        <v>413</v>
      </c>
      <c r="F85" s="397">
        <v>4637</v>
      </c>
      <c r="G85" s="397">
        <v>5538</v>
      </c>
      <c r="H85" s="397">
        <v>5081</v>
      </c>
      <c r="I85" s="397">
        <v>4850</v>
      </c>
      <c r="J85" s="84">
        <f>4299-45</f>
        <v>4254</v>
      </c>
      <c r="K85" s="397">
        <v>5335</v>
      </c>
      <c r="L85" s="397">
        <v>6092</v>
      </c>
      <c r="M85" s="397">
        <v>6480</v>
      </c>
      <c r="N85" s="84">
        <f>5796-595</f>
        <v>5201</v>
      </c>
      <c r="O85" s="397">
        <v>6330</v>
      </c>
      <c r="P85" s="397">
        <v>5619</v>
      </c>
      <c r="Q85" s="397">
        <v>6238</v>
      </c>
      <c r="R85" s="105">
        <v>6376</v>
      </c>
      <c r="S85" s="105">
        <v>7509</v>
      </c>
      <c r="T85" s="105">
        <v>7936</v>
      </c>
      <c r="U85" s="105">
        <v>8782</v>
      </c>
      <c r="V85" s="105">
        <v>9116</v>
      </c>
      <c r="W85" s="105">
        <v>10098</v>
      </c>
      <c r="X85" s="105">
        <v>7390</v>
      </c>
    </row>
    <row r="86" spans="1:24">
      <c r="A86" s="79"/>
      <c r="F86" s="90">
        <v>16491</v>
      </c>
      <c r="G86" s="90">
        <v>17530</v>
      </c>
      <c r="H86" s="90">
        <v>17471</v>
      </c>
      <c r="I86" s="90">
        <v>17235</v>
      </c>
      <c r="J86" s="91">
        <f>16581-45</f>
        <v>16536</v>
      </c>
      <c r="K86" s="90">
        <v>17553</v>
      </c>
      <c r="L86" s="90">
        <v>18289</v>
      </c>
      <c r="M86" s="90">
        <v>18609</v>
      </c>
      <c r="N86" s="91">
        <f>17915-595</f>
        <v>17320</v>
      </c>
      <c r="O86" s="90">
        <v>18449</v>
      </c>
      <c r="P86" s="90">
        <v>17076</v>
      </c>
      <c r="Q86" s="90">
        <v>17580</v>
      </c>
      <c r="R86" s="112">
        <v>17713</v>
      </c>
      <c r="S86" s="112">
        <v>18820</v>
      </c>
      <c r="T86" s="112">
        <v>19727</v>
      </c>
      <c r="U86" s="112">
        <v>20553</v>
      </c>
      <c r="V86" s="112">
        <v>20783</v>
      </c>
      <c r="W86" s="112">
        <v>21826</v>
      </c>
      <c r="X86" s="112">
        <v>22038</v>
      </c>
    </row>
    <row r="87" spans="1:24">
      <c r="A87" s="79"/>
      <c r="F87" s="79"/>
      <c r="G87" s="79"/>
      <c r="H87" s="579"/>
      <c r="I87" s="579"/>
      <c r="J87" s="91"/>
      <c r="L87" s="109"/>
      <c r="N87" s="71"/>
      <c r="Q87" s="10"/>
      <c r="R87" s="71"/>
    </row>
    <row r="88" spans="1:24">
      <c r="A88" s="79" t="s">
        <v>239</v>
      </c>
      <c r="F88" s="90">
        <v>33</v>
      </c>
      <c r="G88" s="90">
        <v>34</v>
      </c>
      <c r="H88" s="579">
        <v>32</v>
      </c>
      <c r="I88" s="579">
        <v>32</v>
      </c>
      <c r="J88" s="91">
        <v>33</v>
      </c>
      <c r="K88" s="579">
        <v>35</v>
      </c>
      <c r="L88" s="579">
        <v>36</v>
      </c>
      <c r="M88" s="579">
        <v>38</v>
      </c>
      <c r="N88" s="71">
        <v>38</v>
      </c>
      <c r="O88" s="10">
        <v>38</v>
      </c>
      <c r="P88" s="10">
        <v>38</v>
      </c>
      <c r="Q88" s="10">
        <v>39</v>
      </c>
      <c r="R88" s="71">
        <v>41</v>
      </c>
      <c r="S88" s="71">
        <v>42</v>
      </c>
      <c r="T88" s="71">
        <v>3</v>
      </c>
      <c r="U88" s="71">
        <v>3</v>
      </c>
      <c r="V88" s="71">
        <v>3</v>
      </c>
      <c r="W88" s="71">
        <v>3</v>
      </c>
      <c r="X88" s="109">
        <v>3</v>
      </c>
    </row>
    <row r="89" spans="1:24">
      <c r="A89" s="79"/>
      <c r="F89" s="79"/>
      <c r="G89" s="79"/>
      <c r="H89" s="579"/>
      <c r="I89" s="579"/>
      <c r="J89" s="91"/>
      <c r="K89" s="579"/>
      <c r="L89" s="579"/>
      <c r="M89" s="579"/>
      <c r="N89" s="71"/>
      <c r="Q89" s="10"/>
      <c r="R89" s="71"/>
    </row>
    <row r="90" spans="1:24" ht="13">
      <c r="A90" s="82" t="s">
        <v>240</v>
      </c>
      <c r="F90" s="101">
        <v>16524</v>
      </c>
      <c r="G90" s="101">
        <v>17564</v>
      </c>
      <c r="H90" s="101">
        <v>17503</v>
      </c>
      <c r="I90" s="101">
        <v>17267</v>
      </c>
      <c r="J90" s="101">
        <f>16614-45</f>
        <v>16569</v>
      </c>
      <c r="K90" s="101">
        <v>17588</v>
      </c>
      <c r="L90" s="101">
        <v>18325</v>
      </c>
      <c r="M90" s="101">
        <v>18647</v>
      </c>
      <c r="N90" s="101">
        <f>17953-595</f>
        <v>17358</v>
      </c>
      <c r="O90" s="101">
        <v>18487</v>
      </c>
      <c r="P90" s="101">
        <v>17114</v>
      </c>
      <c r="Q90" s="101">
        <v>17619</v>
      </c>
      <c r="R90" s="107">
        <v>17754</v>
      </c>
      <c r="S90" s="107">
        <v>18862</v>
      </c>
      <c r="T90" s="107">
        <v>19730</v>
      </c>
      <c r="U90" s="107">
        <v>20556</v>
      </c>
      <c r="V90" s="107">
        <v>20786</v>
      </c>
      <c r="W90" s="107">
        <v>21829</v>
      </c>
      <c r="X90" s="107">
        <v>22041</v>
      </c>
    </row>
    <row r="91" spans="1:24">
      <c r="A91" s="79"/>
      <c r="F91" s="82"/>
      <c r="G91" s="82"/>
      <c r="H91" s="82"/>
      <c r="I91" s="82"/>
      <c r="J91" s="101"/>
      <c r="K91" s="82"/>
      <c r="L91" s="82"/>
      <c r="M91" s="82"/>
      <c r="N91" s="101"/>
      <c r="O91" s="82"/>
      <c r="P91" s="82"/>
      <c r="Q91" s="82"/>
      <c r="R91" s="71"/>
    </row>
    <row r="92" spans="1:24">
      <c r="A92" s="95" t="s">
        <v>241</v>
      </c>
      <c r="H92" s="579"/>
      <c r="J92" s="71"/>
      <c r="L92" s="109"/>
      <c r="N92" s="71"/>
      <c r="R92" s="71"/>
    </row>
    <row r="93" spans="1:24">
      <c r="A93" s="79" t="s">
        <v>681</v>
      </c>
      <c r="F93" s="555">
        <v>10947</v>
      </c>
      <c r="G93" s="555">
        <v>11810</v>
      </c>
      <c r="H93" s="555">
        <v>12252</v>
      </c>
      <c r="I93" s="555">
        <v>12387</v>
      </c>
      <c r="J93" s="400">
        <v>15959</v>
      </c>
      <c r="K93" s="555">
        <v>16993</v>
      </c>
      <c r="L93" s="555">
        <v>15206</v>
      </c>
      <c r="M93" s="555">
        <v>14623</v>
      </c>
      <c r="N93" s="400">
        <v>15317</v>
      </c>
      <c r="O93" s="555">
        <v>14002</v>
      </c>
      <c r="P93" s="555">
        <v>12407</v>
      </c>
      <c r="Q93" s="555">
        <v>14043</v>
      </c>
      <c r="R93" s="555">
        <v>12475</v>
      </c>
      <c r="S93" s="555">
        <v>13265</v>
      </c>
      <c r="T93" s="555">
        <v>12159</v>
      </c>
      <c r="U93" s="555">
        <v>12305</v>
      </c>
      <c r="V93" s="555">
        <v>11911</v>
      </c>
      <c r="W93" s="555">
        <v>11721</v>
      </c>
      <c r="X93" s="555">
        <v>11971</v>
      </c>
    </row>
    <row r="94" spans="1:24">
      <c r="A94" s="79" t="s">
        <v>243</v>
      </c>
      <c r="F94" s="90">
        <v>789</v>
      </c>
      <c r="G94" s="90">
        <v>803</v>
      </c>
      <c r="H94" s="90">
        <v>662</v>
      </c>
      <c r="I94" s="90">
        <v>651</v>
      </c>
      <c r="J94" s="91">
        <v>494</v>
      </c>
      <c r="K94" s="90">
        <v>511</v>
      </c>
      <c r="L94" s="90">
        <v>547</v>
      </c>
      <c r="M94" s="90">
        <v>543</v>
      </c>
      <c r="N94" s="91">
        <v>650</v>
      </c>
      <c r="O94" s="90">
        <v>672</v>
      </c>
      <c r="P94" s="90">
        <v>639</v>
      </c>
      <c r="Q94" s="90">
        <v>663</v>
      </c>
      <c r="R94" s="71">
        <v>701</v>
      </c>
      <c r="S94" s="555">
        <v>716</v>
      </c>
      <c r="T94" s="555">
        <v>713</v>
      </c>
      <c r="U94" s="555">
        <v>709</v>
      </c>
      <c r="V94" s="555">
        <v>820</v>
      </c>
      <c r="W94" s="555">
        <v>838</v>
      </c>
      <c r="X94" s="555">
        <v>834</v>
      </c>
    </row>
    <row r="95" spans="1:24" ht="26">
      <c r="A95" s="250" t="s">
        <v>682</v>
      </c>
      <c r="F95" s="90">
        <v>436</v>
      </c>
      <c r="G95" s="90">
        <v>425</v>
      </c>
      <c r="H95" s="90">
        <v>290</v>
      </c>
      <c r="I95" s="90">
        <v>293</v>
      </c>
      <c r="J95" s="400">
        <v>157</v>
      </c>
      <c r="K95" s="90">
        <v>155</v>
      </c>
      <c r="L95" s="90">
        <v>161</v>
      </c>
      <c r="M95" s="90">
        <v>159</v>
      </c>
      <c r="N95" s="400">
        <v>209</v>
      </c>
      <c r="O95" s="90">
        <v>208</v>
      </c>
      <c r="P95" s="90">
        <v>206</v>
      </c>
      <c r="Q95" s="90">
        <v>240</v>
      </c>
      <c r="R95" s="71">
        <v>216</v>
      </c>
      <c r="S95" s="555">
        <v>217</v>
      </c>
      <c r="T95" s="555">
        <v>222</v>
      </c>
      <c r="U95" s="555">
        <v>226</v>
      </c>
      <c r="V95" s="555">
        <v>293</v>
      </c>
      <c r="W95" s="555">
        <v>291</v>
      </c>
      <c r="X95" s="555">
        <v>299</v>
      </c>
    </row>
    <row r="96" spans="1:24">
      <c r="A96" s="79" t="s">
        <v>244</v>
      </c>
      <c r="F96" s="90">
        <v>568</v>
      </c>
      <c r="G96" s="90">
        <v>574</v>
      </c>
      <c r="H96" s="90">
        <v>570</v>
      </c>
      <c r="I96" s="90">
        <v>568</v>
      </c>
      <c r="J96" s="91">
        <v>571</v>
      </c>
      <c r="K96" s="90">
        <v>594</v>
      </c>
      <c r="L96" s="90">
        <v>584</v>
      </c>
      <c r="M96" s="90">
        <v>585</v>
      </c>
      <c r="N96" s="91">
        <v>607</v>
      </c>
      <c r="O96" s="90">
        <v>607</v>
      </c>
      <c r="P96" s="90">
        <v>599</v>
      </c>
      <c r="Q96" s="90">
        <v>602</v>
      </c>
      <c r="R96" s="71">
        <v>612</v>
      </c>
      <c r="S96" s="555">
        <v>767</v>
      </c>
      <c r="T96" s="555">
        <v>1023</v>
      </c>
      <c r="U96" s="555">
        <v>1250</v>
      </c>
      <c r="V96" s="555">
        <v>1670</v>
      </c>
      <c r="W96" s="555">
        <v>2004</v>
      </c>
      <c r="X96" s="555">
        <v>2313</v>
      </c>
    </row>
    <row r="97" spans="1:24">
      <c r="A97" s="79" t="s">
        <v>386</v>
      </c>
      <c r="F97" s="90">
        <v>741</v>
      </c>
      <c r="G97" s="90">
        <v>1488</v>
      </c>
      <c r="H97" s="90">
        <v>1564</v>
      </c>
      <c r="I97" s="90">
        <v>1576</v>
      </c>
      <c r="J97" s="91">
        <f>1200-10</f>
        <v>1190</v>
      </c>
      <c r="K97" s="90">
        <v>1138</v>
      </c>
      <c r="L97" s="90">
        <v>1286</v>
      </c>
      <c r="M97" s="90">
        <v>1271</v>
      </c>
      <c r="N97" s="91">
        <f>1212-140</f>
        <v>1072</v>
      </c>
      <c r="O97" s="90">
        <v>1390</v>
      </c>
      <c r="P97" s="90">
        <v>1543</v>
      </c>
      <c r="Q97" s="90">
        <v>1691</v>
      </c>
      <c r="R97" s="71">
        <v>1592</v>
      </c>
      <c r="S97" s="555">
        <v>1374</v>
      </c>
      <c r="T97" s="555">
        <v>1412</v>
      </c>
      <c r="U97" s="555">
        <v>1555</v>
      </c>
      <c r="V97" s="555">
        <v>1529</v>
      </c>
      <c r="W97" s="555">
        <v>1672</v>
      </c>
      <c r="X97" s="555">
        <v>1706</v>
      </c>
    </row>
    <row r="98" spans="1:24">
      <c r="A98" s="79" t="s">
        <v>385</v>
      </c>
      <c r="F98" s="90">
        <v>116</v>
      </c>
      <c r="G98" s="90">
        <v>41</v>
      </c>
      <c r="H98" s="90">
        <v>83</v>
      </c>
      <c r="I98" s="90">
        <v>115</v>
      </c>
      <c r="J98" s="91">
        <v>10</v>
      </c>
      <c r="K98" s="90">
        <v>19</v>
      </c>
      <c r="L98" s="90">
        <v>62</v>
      </c>
      <c r="M98" s="90">
        <v>65</v>
      </c>
      <c r="N98" s="91">
        <v>169</v>
      </c>
      <c r="O98" s="90">
        <v>216</v>
      </c>
      <c r="P98" s="90">
        <v>177</v>
      </c>
      <c r="Q98" s="90">
        <v>128</v>
      </c>
      <c r="R98" s="71">
        <v>64</v>
      </c>
      <c r="S98" s="71">
        <v>151</v>
      </c>
      <c r="T98" s="71">
        <v>148</v>
      </c>
      <c r="U98" s="71">
        <v>46</v>
      </c>
      <c r="V98" s="71">
        <v>91</v>
      </c>
      <c r="W98" s="71">
        <v>66</v>
      </c>
      <c r="X98" s="71">
        <v>84</v>
      </c>
    </row>
    <row r="99" spans="1:24">
      <c r="A99" s="79" t="s">
        <v>247</v>
      </c>
      <c r="F99" s="90">
        <v>33</v>
      </c>
      <c r="G99" s="90">
        <v>27</v>
      </c>
      <c r="H99" s="90">
        <v>99</v>
      </c>
      <c r="I99" s="90">
        <v>101</v>
      </c>
      <c r="J99" s="91">
        <v>119</v>
      </c>
      <c r="K99" s="90">
        <v>131</v>
      </c>
      <c r="L99" s="90">
        <v>123</v>
      </c>
      <c r="M99" s="90">
        <v>106</v>
      </c>
      <c r="N99" s="91">
        <f>152+32</f>
        <v>184</v>
      </c>
      <c r="O99" s="90">
        <f>141+35</f>
        <v>176</v>
      </c>
      <c r="P99" s="90">
        <v>184</v>
      </c>
      <c r="Q99" s="90">
        <v>181</v>
      </c>
      <c r="R99" s="71">
        <v>146</v>
      </c>
      <c r="S99" s="71">
        <f>94+36</f>
        <v>130</v>
      </c>
      <c r="T99" s="71">
        <v>110</v>
      </c>
      <c r="U99" s="71">
        <f>76+35</f>
        <v>111</v>
      </c>
      <c r="V99" s="71">
        <v>78</v>
      </c>
      <c r="W99" s="71">
        <f>26+22</f>
        <v>48</v>
      </c>
      <c r="X99" s="71">
        <f>13+23</f>
        <v>36</v>
      </c>
    </row>
    <row r="100" spans="1:24" ht="15.5">
      <c r="A100" s="83" t="s">
        <v>251</v>
      </c>
      <c r="F100" s="397">
        <v>4</v>
      </c>
      <c r="G100" s="397">
        <v>1</v>
      </c>
      <c r="H100" s="397">
        <v>1</v>
      </c>
      <c r="I100" s="397">
        <v>1</v>
      </c>
      <c r="J100" s="84">
        <v>1</v>
      </c>
      <c r="K100" s="624">
        <v>0</v>
      </c>
      <c r="L100" s="397">
        <v>1</v>
      </c>
      <c r="M100" s="397">
        <v>1</v>
      </c>
      <c r="N100" s="84">
        <v>1</v>
      </c>
      <c r="O100" s="397">
        <v>1</v>
      </c>
      <c r="P100" s="397">
        <v>1</v>
      </c>
      <c r="Q100" s="397">
        <v>1</v>
      </c>
      <c r="R100" s="84">
        <v>1</v>
      </c>
      <c r="S100" s="84">
        <v>1</v>
      </c>
      <c r="T100" s="84">
        <v>1</v>
      </c>
      <c r="U100" s="84">
        <v>1</v>
      </c>
      <c r="V100" s="84">
        <v>1</v>
      </c>
      <c r="W100" s="84">
        <v>1</v>
      </c>
      <c r="X100" s="114">
        <v>0</v>
      </c>
    </row>
    <row r="101" spans="1:24">
      <c r="A101" s="79"/>
      <c r="F101" s="90">
        <v>13634</v>
      </c>
      <c r="G101" s="90">
        <v>15169</v>
      </c>
      <c r="H101" s="90">
        <v>15521</v>
      </c>
      <c r="I101" s="90">
        <v>15692</v>
      </c>
      <c r="J101" s="91">
        <f>18511-10</f>
        <v>18501</v>
      </c>
      <c r="K101" s="90">
        <v>19541</v>
      </c>
      <c r="L101" s="90">
        <v>17970</v>
      </c>
      <c r="M101" s="90">
        <v>17353</v>
      </c>
      <c r="N101" s="91">
        <f>18349-140</f>
        <v>18209</v>
      </c>
      <c r="O101" s="90">
        <v>17272</v>
      </c>
      <c r="P101" s="90">
        <v>15756</v>
      </c>
      <c r="Q101" s="90">
        <v>17549</v>
      </c>
      <c r="R101" s="91">
        <v>15807</v>
      </c>
      <c r="S101" s="91">
        <v>16621</v>
      </c>
      <c r="T101" s="91">
        <v>15788</v>
      </c>
      <c r="U101" s="91">
        <v>16203</v>
      </c>
      <c r="V101" s="91">
        <v>16393</v>
      </c>
      <c r="W101" s="91">
        <v>16641</v>
      </c>
      <c r="X101" s="91">
        <v>17243</v>
      </c>
    </row>
    <row r="102" spans="1:24">
      <c r="A102" s="79" t="s">
        <v>248</v>
      </c>
      <c r="H102" s="579"/>
      <c r="J102" s="71"/>
      <c r="L102" s="109"/>
      <c r="N102" s="71"/>
      <c r="R102" s="71"/>
    </row>
    <row r="103" spans="1:24" ht="15.5">
      <c r="A103" s="79" t="s">
        <v>681</v>
      </c>
      <c r="F103" s="555">
        <v>2143</v>
      </c>
      <c r="G103" s="555">
        <v>3991</v>
      </c>
      <c r="H103" s="579">
        <v>2161</v>
      </c>
      <c r="I103" s="579">
        <v>2902</v>
      </c>
      <c r="J103" s="91">
        <v>528</v>
      </c>
      <c r="K103" s="579">
        <v>1448</v>
      </c>
      <c r="L103" s="579">
        <v>1357</v>
      </c>
      <c r="M103" s="579">
        <v>1408</v>
      </c>
      <c r="N103" s="628">
        <v>2098</v>
      </c>
      <c r="O103" s="579">
        <v>2711</v>
      </c>
      <c r="P103" s="579">
        <v>1918</v>
      </c>
      <c r="Q103" s="579">
        <v>2694</v>
      </c>
      <c r="R103" s="561">
        <v>2140</v>
      </c>
      <c r="S103" s="109">
        <v>2039</v>
      </c>
      <c r="T103" s="109">
        <v>1925</v>
      </c>
      <c r="U103" s="109">
        <v>1993</v>
      </c>
      <c r="V103" s="109">
        <v>1207</v>
      </c>
      <c r="W103" s="109">
        <v>1146</v>
      </c>
      <c r="X103" s="109">
        <v>1088</v>
      </c>
    </row>
    <row r="104" spans="1:24" ht="15.5">
      <c r="A104" s="79" t="s">
        <v>246</v>
      </c>
      <c r="F104" s="556">
        <v>1242</v>
      </c>
      <c r="G104" s="556">
        <v>1622</v>
      </c>
      <c r="H104" s="579">
        <v>1359</v>
      </c>
      <c r="I104" s="579">
        <v>1740</v>
      </c>
      <c r="J104" s="91">
        <f>2246+11</f>
        <v>2257</v>
      </c>
      <c r="K104" s="579">
        <v>2229</v>
      </c>
      <c r="L104" s="579">
        <v>1687</v>
      </c>
      <c r="M104" s="579">
        <v>1999</v>
      </c>
      <c r="N104" s="628">
        <f>2088+75</f>
        <v>2163</v>
      </c>
      <c r="O104" s="579">
        <v>1529</v>
      </c>
      <c r="P104" s="579">
        <v>1446</v>
      </c>
      <c r="Q104" s="579">
        <v>1481</v>
      </c>
      <c r="R104" s="561">
        <v>1955</v>
      </c>
      <c r="S104" s="109">
        <v>2261</v>
      </c>
      <c r="T104" s="109">
        <v>1386</v>
      </c>
      <c r="U104" s="109">
        <v>1628</v>
      </c>
      <c r="V104" s="109">
        <v>1852</v>
      </c>
      <c r="W104" s="109">
        <v>1755</v>
      </c>
      <c r="X104" s="109">
        <v>1620</v>
      </c>
    </row>
    <row r="105" spans="1:24" ht="15.5">
      <c r="A105" s="572" t="s">
        <v>683</v>
      </c>
      <c r="F105" s="90">
        <v>1061</v>
      </c>
      <c r="G105" s="389">
        <v>0</v>
      </c>
      <c r="H105" s="584">
        <v>0</v>
      </c>
      <c r="I105" s="584">
        <v>0</v>
      </c>
      <c r="J105" s="91">
        <v>0</v>
      </c>
      <c r="K105" s="584">
        <v>0</v>
      </c>
      <c r="L105" s="584">
        <v>0</v>
      </c>
      <c r="M105" s="584">
        <v>0</v>
      </c>
      <c r="N105" s="628">
        <v>0</v>
      </c>
      <c r="O105" s="584">
        <v>0</v>
      </c>
      <c r="P105" s="584">
        <v>0</v>
      </c>
      <c r="Q105" s="584">
        <v>0</v>
      </c>
      <c r="R105" s="113">
        <v>0</v>
      </c>
      <c r="S105" s="113">
        <v>0</v>
      </c>
      <c r="T105" s="113">
        <v>0</v>
      </c>
      <c r="U105" s="113"/>
      <c r="V105" s="113">
        <v>0</v>
      </c>
      <c r="W105" s="113">
        <v>0</v>
      </c>
      <c r="X105" s="113">
        <v>0</v>
      </c>
    </row>
    <row r="106" spans="1:24" ht="15.5">
      <c r="A106" s="79" t="s">
        <v>249</v>
      </c>
      <c r="F106" s="90">
        <v>616</v>
      </c>
      <c r="G106" s="90">
        <v>308</v>
      </c>
      <c r="H106" s="579">
        <v>399</v>
      </c>
      <c r="I106" s="579">
        <v>450</v>
      </c>
      <c r="J106" s="91">
        <v>707</v>
      </c>
      <c r="K106" s="579">
        <v>388</v>
      </c>
      <c r="L106" s="579">
        <v>448</v>
      </c>
      <c r="M106" s="579">
        <v>491</v>
      </c>
      <c r="N106" s="628">
        <v>555</v>
      </c>
      <c r="O106" s="579">
        <v>419</v>
      </c>
      <c r="P106" s="579">
        <v>529</v>
      </c>
      <c r="Q106" s="579">
        <v>450</v>
      </c>
      <c r="R106" s="113">
        <v>592</v>
      </c>
      <c r="S106" s="109">
        <v>515</v>
      </c>
      <c r="T106" s="109">
        <v>614</v>
      </c>
      <c r="U106" s="109">
        <v>716</v>
      </c>
      <c r="V106" s="109">
        <v>916</v>
      </c>
      <c r="W106" s="109">
        <v>522</v>
      </c>
      <c r="X106" s="109">
        <v>602</v>
      </c>
    </row>
    <row r="107" spans="1:24" ht="15.5">
      <c r="A107" s="79" t="s">
        <v>243</v>
      </c>
      <c r="F107" s="90">
        <v>104</v>
      </c>
      <c r="G107" s="90">
        <v>94</v>
      </c>
      <c r="H107" s="579">
        <v>116</v>
      </c>
      <c r="I107" s="579">
        <v>118</v>
      </c>
      <c r="J107" s="91">
        <v>92</v>
      </c>
      <c r="K107" s="579">
        <v>75</v>
      </c>
      <c r="L107" s="579">
        <v>72</v>
      </c>
      <c r="M107" s="579">
        <v>70</v>
      </c>
      <c r="N107" s="628">
        <v>104</v>
      </c>
      <c r="O107" s="579">
        <v>82</v>
      </c>
      <c r="P107" s="579">
        <v>78</v>
      </c>
      <c r="Q107" s="579">
        <v>75</v>
      </c>
      <c r="R107" s="113">
        <v>110</v>
      </c>
      <c r="S107" s="109">
        <v>88</v>
      </c>
      <c r="T107" s="109">
        <v>84</v>
      </c>
      <c r="U107" s="109">
        <v>81</v>
      </c>
      <c r="V107" s="109">
        <v>171</v>
      </c>
      <c r="W107" s="109">
        <v>146</v>
      </c>
      <c r="X107" s="109">
        <v>135</v>
      </c>
    </row>
    <row r="108" spans="1:24" ht="26">
      <c r="A108" s="250" t="s">
        <v>684</v>
      </c>
      <c r="F108" s="109">
        <v>1890</v>
      </c>
      <c r="G108" s="109">
        <v>1515</v>
      </c>
      <c r="H108" s="579">
        <v>1697</v>
      </c>
      <c r="I108" s="579">
        <v>2399</v>
      </c>
      <c r="J108" s="91">
        <v>3692</v>
      </c>
      <c r="K108" s="579">
        <v>3980</v>
      </c>
      <c r="L108" s="579">
        <v>1946</v>
      </c>
      <c r="M108" s="579">
        <v>2618</v>
      </c>
      <c r="N108" s="628">
        <v>3744</v>
      </c>
      <c r="O108" s="579">
        <v>4536</v>
      </c>
      <c r="P108" s="579">
        <v>4432</v>
      </c>
      <c r="Q108" s="579">
        <v>2337</v>
      </c>
      <c r="R108" s="113">
        <v>3386</v>
      </c>
      <c r="S108" s="109">
        <v>4312</v>
      </c>
      <c r="T108" s="109">
        <v>3266</v>
      </c>
      <c r="U108" s="109">
        <v>2212</v>
      </c>
      <c r="V108" s="109">
        <v>3327</v>
      </c>
      <c r="W108" s="109">
        <v>4379</v>
      </c>
      <c r="X108" s="109">
        <v>4853</v>
      </c>
    </row>
    <row r="109" spans="1:24" ht="15.5">
      <c r="A109" s="79" t="s">
        <v>250</v>
      </c>
      <c r="F109" s="90">
        <v>619</v>
      </c>
      <c r="G109" s="90">
        <v>378</v>
      </c>
      <c r="H109" s="579">
        <v>1219</v>
      </c>
      <c r="I109" s="579">
        <v>820</v>
      </c>
      <c r="J109" s="74">
        <v>387</v>
      </c>
      <c r="K109" s="579">
        <v>328</v>
      </c>
      <c r="L109" s="579">
        <v>299</v>
      </c>
      <c r="M109" s="579">
        <v>789</v>
      </c>
      <c r="N109" s="90">
        <v>843</v>
      </c>
      <c r="O109" s="579">
        <v>390</v>
      </c>
      <c r="P109" s="579">
        <v>300</v>
      </c>
      <c r="Q109" s="579">
        <v>263</v>
      </c>
      <c r="R109" s="113">
        <v>236</v>
      </c>
      <c r="S109" s="109">
        <v>227</v>
      </c>
      <c r="T109" s="109">
        <v>222</v>
      </c>
      <c r="U109" s="109">
        <v>222</v>
      </c>
      <c r="V109" s="109">
        <v>637</v>
      </c>
      <c r="W109" s="109">
        <v>336</v>
      </c>
      <c r="X109" s="109">
        <v>296</v>
      </c>
    </row>
    <row r="110" spans="1:24" ht="15.5">
      <c r="A110" s="79" t="s">
        <v>244</v>
      </c>
      <c r="F110" s="90">
        <v>177</v>
      </c>
      <c r="G110" s="90">
        <v>260</v>
      </c>
      <c r="H110" s="579">
        <v>335</v>
      </c>
      <c r="I110" s="579">
        <v>427</v>
      </c>
      <c r="J110" s="91">
        <v>513</v>
      </c>
      <c r="K110" s="579">
        <v>2495</v>
      </c>
      <c r="L110" s="579">
        <v>2674</v>
      </c>
      <c r="M110" s="579">
        <v>2505</v>
      </c>
      <c r="N110" s="628">
        <v>351</v>
      </c>
      <c r="O110" s="579">
        <v>298</v>
      </c>
      <c r="P110" s="579">
        <v>349</v>
      </c>
      <c r="Q110" s="579">
        <v>606</v>
      </c>
      <c r="R110" s="113">
        <v>398</v>
      </c>
      <c r="S110" s="109">
        <v>285</v>
      </c>
      <c r="T110" s="109">
        <v>372</v>
      </c>
      <c r="U110" s="109">
        <v>360</v>
      </c>
      <c r="V110" s="109">
        <v>241</v>
      </c>
      <c r="W110" s="109">
        <v>370</v>
      </c>
      <c r="X110" s="109">
        <v>450</v>
      </c>
    </row>
    <row r="111" spans="1:24" ht="15.5">
      <c r="A111" s="79" t="s">
        <v>387</v>
      </c>
      <c r="F111" s="90">
        <v>4</v>
      </c>
      <c r="G111" s="90">
        <v>129</v>
      </c>
      <c r="H111" s="579">
        <v>75</v>
      </c>
      <c r="I111" s="579">
        <v>56</v>
      </c>
      <c r="J111" s="91">
        <v>17</v>
      </c>
      <c r="K111" s="579">
        <v>366</v>
      </c>
      <c r="L111" s="579">
        <v>68</v>
      </c>
      <c r="M111" s="579">
        <v>97</v>
      </c>
      <c r="N111" s="628">
        <v>19</v>
      </c>
      <c r="O111" s="579">
        <v>69</v>
      </c>
      <c r="P111" s="579">
        <v>11</v>
      </c>
      <c r="Q111" s="579">
        <v>11</v>
      </c>
      <c r="R111" s="113">
        <v>23</v>
      </c>
      <c r="S111" s="109">
        <v>473</v>
      </c>
      <c r="T111" s="109">
        <v>438</v>
      </c>
      <c r="U111" s="109">
        <v>435</v>
      </c>
      <c r="V111" s="109">
        <v>475</v>
      </c>
      <c r="W111" s="109">
        <v>149</v>
      </c>
      <c r="X111" s="109">
        <v>224</v>
      </c>
    </row>
    <row r="112" spans="1:24" ht="15.5">
      <c r="A112" s="79" t="s">
        <v>685</v>
      </c>
      <c r="F112" s="90">
        <v>629</v>
      </c>
      <c r="G112" s="90">
        <v>499</v>
      </c>
      <c r="H112" s="579">
        <v>330</v>
      </c>
      <c r="I112" s="579">
        <v>345</v>
      </c>
      <c r="J112" s="91">
        <v>324</v>
      </c>
      <c r="K112" s="579">
        <v>474</v>
      </c>
      <c r="L112" s="579">
        <v>683</v>
      </c>
      <c r="M112" s="579">
        <v>807</v>
      </c>
      <c r="N112" s="628">
        <v>1030</v>
      </c>
      <c r="O112" s="579">
        <v>726</v>
      </c>
      <c r="P112" s="579">
        <v>610</v>
      </c>
      <c r="Q112" s="579">
        <v>581</v>
      </c>
      <c r="R112" s="113">
        <v>977</v>
      </c>
      <c r="S112" s="109">
        <v>1005</v>
      </c>
      <c r="T112" s="109">
        <v>625</v>
      </c>
      <c r="U112" s="109">
        <v>644</v>
      </c>
      <c r="V112" s="109">
        <v>843</v>
      </c>
      <c r="W112" s="109">
        <v>785</v>
      </c>
      <c r="X112" s="109">
        <v>684</v>
      </c>
    </row>
    <row r="113" spans="1:26" ht="15.5">
      <c r="A113" s="79" t="s">
        <v>385</v>
      </c>
      <c r="F113" s="90">
        <v>379</v>
      </c>
      <c r="G113" s="90">
        <v>449</v>
      </c>
      <c r="H113" s="579">
        <v>648</v>
      </c>
      <c r="I113" s="579">
        <v>877</v>
      </c>
      <c r="J113" s="91">
        <v>331</v>
      </c>
      <c r="K113" s="579">
        <v>379</v>
      </c>
      <c r="L113" s="579">
        <v>586</v>
      </c>
      <c r="M113" s="579">
        <v>519</v>
      </c>
      <c r="N113" s="628">
        <v>644</v>
      </c>
      <c r="O113" s="579">
        <v>817</v>
      </c>
      <c r="P113" s="579">
        <v>862</v>
      </c>
      <c r="Q113" s="579">
        <v>555</v>
      </c>
      <c r="R113" s="113">
        <v>375</v>
      </c>
      <c r="S113" s="109">
        <v>368</v>
      </c>
      <c r="T113" s="109">
        <v>256</v>
      </c>
      <c r="U113" s="109">
        <v>241</v>
      </c>
      <c r="V113" s="109">
        <v>259</v>
      </c>
      <c r="W113" s="109">
        <v>181</v>
      </c>
      <c r="X113" s="109">
        <v>191</v>
      </c>
    </row>
    <row r="114" spans="1:26" ht="14.9" customHeight="1">
      <c r="A114" s="79" t="s">
        <v>247</v>
      </c>
      <c r="F114" s="90">
        <v>483</v>
      </c>
      <c r="G114" s="90">
        <v>450</v>
      </c>
      <c r="H114" s="579">
        <v>605</v>
      </c>
      <c r="I114" s="579">
        <v>614</v>
      </c>
      <c r="J114" s="91">
        <v>514</v>
      </c>
      <c r="K114" s="579">
        <v>413</v>
      </c>
      <c r="L114" s="579">
        <v>435</v>
      </c>
      <c r="M114" s="579">
        <v>434</v>
      </c>
      <c r="N114" s="628">
        <v>640</v>
      </c>
      <c r="O114" s="579">
        <v>251</v>
      </c>
      <c r="P114" s="579">
        <v>335</v>
      </c>
      <c r="Q114" s="579">
        <v>360</v>
      </c>
      <c r="R114" s="113">
        <v>740</v>
      </c>
      <c r="S114" s="109">
        <v>290</v>
      </c>
      <c r="T114" s="109">
        <v>284</v>
      </c>
      <c r="U114" s="109">
        <v>276</v>
      </c>
      <c r="V114" s="109">
        <v>471</v>
      </c>
      <c r="W114" s="109">
        <v>325</v>
      </c>
      <c r="X114" s="109">
        <v>732</v>
      </c>
    </row>
    <row r="115" spans="1:26" ht="15.5">
      <c r="A115" s="117" t="s">
        <v>251</v>
      </c>
      <c r="F115" s="90">
        <v>570</v>
      </c>
      <c r="G115" s="90">
        <v>720</v>
      </c>
      <c r="H115" s="579">
        <v>708</v>
      </c>
      <c r="I115" s="579">
        <v>787</v>
      </c>
      <c r="J115" s="91">
        <v>843</v>
      </c>
      <c r="K115" s="579">
        <v>1321</v>
      </c>
      <c r="L115" s="579">
        <v>1149</v>
      </c>
      <c r="M115" s="579">
        <v>1160</v>
      </c>
      <c r="N115" s="628">
        <v>1379</v>
      </c>
      <c r="O115" s="579">
        <v>1411</v>
      </c>
      <c r="P115" s="579">
        <v>1259</v>
      </c>
      <c r="Q115" s="579">
        <v>1216</v>
      </c>
      <c r="R115" s="113">
        <v>1221</v>
      </c>
      <c r="S115" s="109">
        <v>1326</v>
      </c>
      <c r="T115" s="109">
        <v>1236</v>
      </c>
      <c r="U115" s="109">
        <v>1189</v>
      </c>
      <c r="V115" s="109">
        <v>1139</v>
      </c>
      <c r="W115" s="109">
        <v>1263</v>
      </c>
      <c r="X115" s="109">
        <v>1114</v>
      </c>
    </row>
    <row r="116" spans="1:26" ht="26">
      <c r="A116" s="261" t="s">
        <v>686</v>
      </c>
      <c r="F116" s="580">
        <v>0</v>
      </c>
      <c r="G116" s="580">
        <v>0</v>
      </c>
      <c r="H116" s="580">
        <v>0</v>
      </c>
      <c r="I116" s="397">
        <v>1</v>
      </c>
      <c r="J116" s="398">
        <v>1</v>
      </c>
      <c r="K116" s="397">
        <v>1</v>
      </c>
      <c r="L116" s="397">
        <v>1</v>
      </c>
      <c r="M116" s="397">
        <v>1</v>
      </c>
      <c r="N116" s="92">
        <v>1</v>
      </c>
      <c r="O116" s="397">
        <v>1</v>
      </c>
      <c r="P116" s="397">
        <v>1</v>
      </c>
      <c r="Q116" s="114">
        <v>0</v>
      </c>
      <c r="R116" s="114">
        <v>0</v>
      </c>
      <c r="S116" s="114">
        <v>0</v>
      </c>
      <c r="T116" s="114">
        <v>1</v>
      </c>
      <c r="U116" s="114">
        <v>1</v>
      </c>
      <c r="V116" s="114">
        <v>0</v>
      </c>
      <c r="W116" s="114">
        <v>0</v>
      </c>
      <c r="X116" s="114">
        <v>0</v>
      </c>
    </row>
    <row r="117" spans="1:26" ht="13">
      <c r="A117" s="95"/>
      <c r="F117" s="90">
        <v>9917</v>
      </c>
      <c r="G117" s="90">
        <v>10415</v>
      </c>
      <c r="H117" s="90">
        <v>9652</v>
      </c>
      <c r="I117" s="90">
        <v>11536</v>
      </c>
      <c r="J117" s="74">
        <f>10195+11</f>
        <v>10206</v>
      </c>
      <c r="K117" s="90">
        <v>13897</v>
      </c>
      <c r="L117" s="90">
        <v>11405</v>
      </c>
      <c r="M117" s="90">
        <v>12898</v>
      </c>
      <c r="N117" s="74">
        <f>13496+75</f>
        <v>13571</v>
      </c>
      <c r="O117" s="90">
        <v>13240</v>
      </c>
      <c r="P117" s="90">
        <v>12130</v>
      </c>
      <c r="Q117" s="90">
        <v>10629</v>
      </c>
      <c r="R117" s="105">
        <v>12153</v>
      </c>
      <c r="S117" s="105">
        <v>13189</v>
      </c>
      <c r="T117" s="105">
        <v>10709</v>
      </c>
      <c r="U117" s="105">
        <v>9998</v>
      </c>
      <c r="V117" s="105">
        <v>11538</v>
      </c>
      <c r="W117" s="105">
        <v>11357</v>
      </c>
      <c r="X117" s="105">
        <v>11989</v>
      </c>
    </row>
    <row r="118" spans="1:26">
      <c r="A118" s="79"/>
      <c r="J118" s="71"/>
      <c r="L118" s="109"/>
      <c r="N118" s="71"/>
      <c r="Q118" s="10"/>
      <c r="R118" s="71"/>
      <c r="S118" s="71"/>
      <c r="T118" s="71"/>
    </row>
    <row r="119" spans="1:26" ht="13">
      <c r="A119" s="82" t="s">
        <v>252</v>
      </c>
      <c r="F119" s="101">
        <v>23551</v>
      </c>
      <c r="G119" s="101">
        <v>25584</v>
      </c>
      <c r="H119" s="101">
        <v>25173</v>
      </c>
      <c r="I119" s="101">
        <v>27228</v>
      </c>
      <c r="J119" s="101">
        <f>28706+1</f>
        <v>28707</v>
      </c>
      <c r="K119" s="101">
        <v>33438</v>
      </c>
      <c r="L119" s="101">
        <v>29375</v>
      </c>
      <c r="M119" s="101">
        <v>30251</v>
      </c>
      <c r="N119" s="101">
        <f>31845-65</f>
        <v>31780</v>
      </c>
      <c r="O119" s="101">
        <v>30512</v>
      </c>
      <c r="P119" s="101">
        <v>27886</v>
      </c>
      <c r="Q119" s="101">
        <v>28178</v>
      </c>
      <c r="R119" s="112">
        <v>27960</v>
      </c>
      <c r="S119" s="112">
        <v>29810</v>
      </c>
      <c r="T119" s="112">
        <v>26497</v>
      </c>
      <c r="U119" s="112">
        <v>26201</v>
      </c>
      <c r="V119" s="112">
        <v>27931</v>
      </c>
      <c r="W119" s="112">
        <v>27998</v>
      </c>
      <c r="X119" s="112">
        <v>29232</v>
      </c>
    </row>
    <row r="120" spans="1:26">
      <c r="A120" s="79"/>
      <c r="F120" s="79"/>
      <c r="G120" s="79"/>
      <c r="H120" s="79"/>
      <c r="I120" s="79"/>
      <c r="J120" s="91"/>
      <c r="K120" s="79"/>
      <c r="L120" s="79"/>
      <c r="M120" s="79"/>
      <c r="N120" s="91"/>
      <c r="O120" s="79"/>
      <c r="P120" s="79"/>
      <c r="Q120" s="79"/>
      <c r="R120" s="112"/>
      <c r="S120" s="112"/>
      <c r="T120" s="112"/>
      <c r="U120" s="112"/>
      <c r="V120" s="112"/>
      <c r="W120" s="112"/>
      <c r="X120" s="112"/>
    </row>
    <row r="121" spans="1:26" ht="13">
      <c r="A121" s="73" t="s">
        <v>253</v>
      </c>
      <c r="F121" s="100">
        <v>40075</v>
      </c>
      <c r="G121" s="100">
        <v>43148</v>
      </c>
      <c r="H121" s="100">
        <v>42676</v>
      </c>
      <c r="I121" s="100">
        <v>44495</v>
      </c>
      <c r="J121" s="100">
        <f>45320-44</f>
        <v>45276</v>
      </c>
      <c r="K121" s="100">
        <v>51026</v>
      </c>
      <c r="L121" s="100">
        <v>47700</v>
      </c>
      <c r="M121" s="100">
        <v>48898</v>
      </c>
      <c r="N121" s="100">
        <f>49798-660</f>
        <v>49138</v>
      </c>
      <c r="O121" s="100">
        <v>48999</v>
      </c>
      <c r="P121" s="100">
        <v>45000</v>
      </c>
      <c r="Q121" s="100">
        <v>45797</v>
      </c>
      <c r="R121" s="115">
        <v>45714</v>
      </c>
      <c r="S121" s="115">
        <v>48672</v>
      </c>
      <c r="T121" s="115">
        <v>46227</v>
      </c>
      <c r="U121" s="115">
        <v>46757</v>
      </c>
      <c r="V121" s="115">
        <v>48717</v>
      </c>
      <c r="W121" s="115">
        <v>49827</v>
      </c>
      <c r="X121" s="115">
        <v>51273</v>
      </c>
    </row>
    <row r="122" spans="1:26">
      <c r="I122" s="579"/>
      <c r="J122" s="579"/>
    </row>
    <row r="123" spans="1:26">
      <c r="A123" s="559" t="s">
        <v>254</v>
      </c>
      <c r="C123" s="528" t="s">
        <v>657</v>
      </c>
      <c r="D123" s="528"/>
      <c r="E123" s="577"/>
      <c r="F123" s="110"/>
      <c r="G123" s="110"/>
      <c r="H123" s="110"/>
      <c r="I123" s="110"/>
      <c r="J123" s="823"/>
      <c r="K123" s="824"/>
      <c r="L123" s="824"/>
      <c r="M123" s="824"/>
      <c r="N123" s="824"/>
      <c r="O123" s="824"/>
    </row>
    <row r="124" spans="1:26">
      <c r="A124" s="592"/>
      <c r="B124" s="593"/>
      <c r="C124" s="594"/>
      <c r="D124" s="594"/>
      <c r="E124" s="594"/>
      <c r="F124" s="594"/>
      <c r="G124" s="594"/>
      <c r="H124" s="594"/>
      <c r="I124" s="594"/>
      <c r="N124" s="825"/>
      <c r="O124" s="826"/>
    </row>
    <row r="125" spans="1:26" ht="95.25" customHeight="1">
      <c r="A125" s="560" t="s">
        <v>671</v>
      </c>
      <c r="C125" s="72" t="s">
        <v>619</v>
      </c>
      <c r="D125" s="72" t="s">
        <v>632</v>
      </c>
      <c r="E125" s="72" t="s">
        <v>645</v>
      </c>
      <c r="F125" s="72" t="s">
        <v>741</v>
      </c>
      <c r="G125" s="72" t="s">
        <v>765</v>
      </c>
      <c r="H125" s="72" t="s">
        <v>699</v>
      </c>
      <c r="I125" s="72" t="s">
        <v>719</v>
      </c>
      <c r="J125" s="72" t="s">
        <v>740</v>
      </c>
      <c r="K125" s="72" t="s">
        <v>858</v>
      </c>
      <c r="L125" s="72" t="s">
        <v>832</v>
      </c>
      <c r="M125" s="72" t="s">
        <v>859</v>
      </c>
      <c r="N125" s="72" t="s">
        <v>854</v>
      </c>
      <c r="O125" s="72" t="s">
        <v>860</v>
      </c>
      <c r="P125" s="72" t="s">
        <v>861</v>
      </c>
      <c r="Q125" s="664" t="s">
        <v>862</v>
      </c>
      <c r="R125" s="72" t="s">
        <v>863</v>
      </c>
      <c r="S125" s="72" t="s">
        <v>920</v>
      </c>
      <c r="T125" s="72" t="s">
        <v>919</v>
      </c>
      <c r="U125" s="72" t="s">
        <v>934</v>
      </c>
      <c r="V125" s="72" t="s">
        <v>971</v>
      </c>
      <c r="W125" s="72" t="s">
        <v>998</v>
      </c>
      <c r="X125" s="72" t="s">
        <v>1020</v>
      </c>
    </row>
    <row r="126" spans="1:26" s="393" customFormat="1" ht="13">
      <c r="A126" s="73" t="s">
        <v>255</v>
      </c>
      <c r="B126" s="530"/>
      <c r="K126" s="503"/>
      <c r="L126" s="503"/>
      <c r="M126" s="503"/>
      <c r="N126" s="503"/>
      <c r="O126" s="503"/>
      <c r="P126" s="503"/>
    </row>
    <row r="127" spans="1:26">
      <c r="A127" s="558" t="s">
        <v>394</v>
      </c>
      <c r="B127" s="529"/>
      <c r="C127" s="116">
        <v>1097</v>
      </c>
      <c r="D127" s="116">
        <v>-500</v>
      </c>
      <c r="E127" s="116">
        <v>191</v>
      </c>
      <c r="F127" s="116">
        <v>-113</v>
      </c>
      <c r="G127" s="116">
        <v>1272</v>
      </c>
      <c r="H127" s="116">
        <v>-410</v>
      </c>
      <c r="I127" s="116">
        <v>-214</v>
      </c>
      <c r="J127" s="116">
        <v>-515</v>
      </c>
      <c r="K127" s="116">
        <f>1392-677</f>
        <v>715</v>
      </c>
      <c r="L127" s="116">
        <f>1134+106</f>
        <v>1240</v>
      </c>
      <c r="M127" s="626">
        <f>489-27</f>
        <v>462</v>
      </c>
      <c r="N127" s="626">
        <f>-713-680+598</f>
        <v>-795</v>
      </c>
      <c r="O127" s="626">
        <f>732+342</f>
        <v>1074</v>
      </c>
      <c r="P127" s="626">
        <f>-751+62+1</f>
        <v>-688</v>
      </c>
      <c r="Q127" s="626">
        <f>750+1</f>
        <v>751</v>
      </c>
      <c r="R127" s="626">
        <f>1155-407+1</f>
        <v>749</v>
      </c>
      <c r="S127" s="116">
        <v>1449</v>
      </c>
      <c r="T127" s="116">
        <v>1048</v>
      </c>
      <c r="U127" s="116">
        <v>1077</v>
      </c>
      <c r="V127" s="116">
        <v>679</v>
      </c>
      <c r="W127" s="116">
        <v>1252</v>
      </c>
      <c r="X127" s="116">
        <v>853</v>
      </c>
      <c r="Y127" s="116"/>
      <c r="Z127" s="116"/>
    </row>
    <row r="128" spans="1:26">
      <c r="A128" s="403" t="s">
        <v>687</v>
      </c>
      <c r="B128" s="529"/>
      <c r="C128" s="116">
        <v>-19</v>
      </c>
      <c r="D128" s="116">
        <v>-3</v>
      </c>
      <c r="E128" s="116">
        <v>-19</v>
      </c>
      <c r="F128" s="116">
        <v>9</v>
      </c>
      <c r="G128" s="116">
        <v>-27</v>
      </c>
      <c r="H128" s="116">
        <v>-22</v>
      </c>
      <c r="I128" s="116">
        <v>-68</v>
      </c>
      <c r="J128" s="116">
        <v>-11</v>
      </c>
      <c r="K128" s="116">
        <v>-27</v>
      </c>
      <c r="L128" s="116">
        <v>-36</v>
      </c>
      <c r="M128" s="626">
        <v>-32</v>
      </c>
      <c r="N128" s="626">
        <v>582</v>
      </c>
      <c r="O128" s="626">
        <v>-14</v>
      </c>
      <c r="P128" s="626">
        <v>-1</v>
      </c>
      <c r="Q128" s="626">
        <v>-70</v>
      </c>
      <c r="R128" s="626">
        <v>1</v>
      </c>
      <c r="S128" s="116">
        <v>-7</v>
      </c>
      <c r="T128" s="116">
        <v>-15</v>
      </c>
      <c r="U128" s="116">
        <v>-17</v>
      </c>
      <c r="V128" s="116">
        <v>-18</v>
      </c>
      <c r="W128" s="116">
        <v>-31</v>
      </c>
      <c r="X128" s="116">
        <v>-7</v>
      </c>
      <c r="Y128" s="116"/>
      <c r="Z128" s="116"/>
    </row>
    <row r="129" spans="1:26">
      <c r="A129" s="403" t="s">
        <v>415</v>
      </c>
      <c r="B129" s="529"/>
      <c r="C129" s="116">
        <v>521</v>
      </c>
      <c r="D129" s="116">
        <v>535</v>
      </c>
      <c r="E129" s="116">
        <f>512+1</f>
        <v>513</v>
      </c>
      <c r="F129" s="116">
        <v>532</v>
      </c>
      <c r="G129" s="116">
        <v>537</v>
      </c>
      <c r="H129" s="116">
        <v>562</v>
      </c>
      <c r="I129" s="116">
        <v>536</v>
      </c>
      <c r="J129" s="116">
        <v>581</v>
      </c>
      <c r="K129" s="116">
        <v>533</v>
      </c>
      <c r="L129" s="116">
        <v>553</v>
      </c>
      <c r="M129" s="626">
        <v>556</v>
      </c>
      <c r="N129" s="626">
        <v>584</v>
      </c>
      <c r="O129" s="626">
        <v>596</v>
      </c>
      <c r="P129" s="626">
        <v>607</v>
      </c>
      <c r="Q129" s="626">
        <v>579</v>
      </c>
      <c r="R129" s="626">
        <v>567</v>
      </c>
      <c r="S129" s="116">
        <v>614</v>
      </c>
      <c r="T129" s="116">
        <v>656</v>
      </c>
      <c r="U129" s="116">
        <v>649</v>
      </c>
      <c r="V129" s="116">
        <v>568</v>
      </c>
      <c r="W129" s="116">
        <v>670</v>
      </c>
      <c r="X129" s="116">
        <v>681</v>
      </c>
      <c r="Y129" s="116"/>
      <c r="Z129" s="116"/>
    </row>
    <row r="130" spans="1:26">
      <c r="A130" s="403" t="s">
        <v>688</v>
      </c>
      <c r="B130" s="529"/>
      <c r="C130" s="389">
        <v>0</v>
      </c>
      <c r="D130" s="116">
        <v>1115</v>
      </c>
      <c r="E130" s="116">
        <v>-3</v>
      </c>
      <c r="F130" s="116">
        <v>17</v>
      </c>
      <c r="G130" s="389">
        <v>0</v>
      </c>
      <c r="H130" s="116">
        <v>85</v>
      </c>
      <c r="I130" s="389">
        <v>0</v>
      </c>
      <c r="J130" s="116">
        <v>129</v>
      </c>
      <c r="K130" s="116">
        <v>-2</v>
      </c>
      <c r="L130" s="626">
        <f>1-K130</f>
        <v>3</v>
      </c>
      <c r="M130" s="389">
        <v>-1</v>
      </c>
      <c r="N130" s="626">
        <v>26</v>
      </c>
      <c r="O130" s="626">
        <v>3</v>
      </c>
      <c r="P130" s="626">
        <v>1641</v>
      </c>
      <c r="Q130" s="626">
        <v>-4</v>
      </c>
      <c r="R130" s="626">
        <v>-91</v>
      </c>
      <c r="S130" s="389">
        <v>0</v>
      </c>
      <c r="T130" s="626">
        <v>-1</v>
      </c>
      <c r="U130" s="626">
        <v>-1</v>
      </c>
      <c r="V130" s="626">
        <v>-37</v>
      </c>
      <c r="W130" s="389">
        <v>0</v>
      </c>
      <c r="X130" s="389">
        <v>0</v>
      </c>
      <c r="Y130" s="116"/>
      <c r="Z130" s="116"/>
    </row>
    <row r="131" spans="1:26" ht="25">
      <c r="A131" s="403" t="s">
        <v>735</v>
      </c>
      <c r="B131" s="529"/>
      <c r="C131" s="389"/>
      <c r="D131" s="116"/>
      <c r="E131" s="116"/>
      <c r="F131" s="116">
        <v>0</v>
      </c>
      <c r="G131" s="389"/>
      <c r="H131" s="116"/>
      <c r="I131" s="116"/>
      <c r="J131" s="116">
        <v>460</v>
      </c>
      <c r="K131" s="389">
        <v>0</v>
      </c>
      <c r="L131" s="389">
        <v>0</v>
      </c>
      <c r="M131" s="389">
        <v>0</v>
      </c>
      <c r="N131" s="389">
        <v>0</v>
      </c>
      <c r="O131" s="389">
        <v>0</v>
      </c>
      <c r="P131" s="389">
        <v>0</v>
      </c>
      <c r="Q131" s="389">
        <v>0</v>
      </c>
      <c r="R131" s="389">
        <v>0</v>
      </c>
      <c r="S131" s="389">
        <v>0</v>
      </c>
      <c r="T131" s="389">
        <v>0</v>
      </c>
      <c r="U131" s="389"/>
      <c r="V131" s="389">
        <v>0</v>
      </c>
      <c r="W131" s="389">
        <v>0</v>
      </c>
      <c r="X131" s="389">
        <v>0</v>
      </c>
      <c r="Y131" s="116"/>
    </row>
    <row r="132" spans="1:26">
      <c r="A132" s="403" t="s">
        <v>952</v>
      </c>
      <c r="B132" s="529"/>
      <c r="C132" s="116">
        <v>2</v>
      </c>
      <c r="D132" s="578">
        <v>0</v>
      </c>
      <c r="E132" s="116">
        <f>-1-2</f>
        <v>-3</v>
      </c>
      <c r="F132" s="116">
        <v>0</v>
      </c>
      <c r="G132" s="116">
        <v>5</v>
      </c>
      <c r="H132" s="116">
        <v>15</v>
      </c>
      <c r="I132" s="116">
        <v>2</v>
      </c>
      <c r="J132" s="116">
        <v>-8</v>
      </c>
      <c r="K132" s="116">
        <v>-9</v>
      </c>
      <c r="L132" s="116">
        <v>-5</v>
      </c>
      <c r="M132" s="116">
        <v>-2</v>
      </c>
      <c r="N132" s="116">
        <v>-135</v>
      </c>
      <c r="O132" s="626">
        <v>-11</v>
      </c>
      <c r="P132" s="626">
        <v>-79</v>
      </c>
      <c r="Q132" s="626">
        <v>-12</v>
      </c>
      <c r="R132" s="626">
        <v>-20</v>
      </c>
      <c r="S132" s="116">
        <v>-12</v>
      </c>
      <c r="T132" s="116">
        <v>-21</v>
      </c>
      <c r="U132" s="116">
        <v>-12</v>
      </c>
      <c r="V132" s="116">
        <v>30</v>
      </c>
      <c r="W132" s="116">
        <v>-11</v>
      </c>
      <c r="X132" s="116">
        <v>-62</v>
      </c>
      <c r="Y132" s="116"/>
    </row>
    <row r="133" spans="1:26">
      <c r="A133" s="403" t="s">
        <v>953</v>
      </c>
      <c r="B133" s="529"/>
      <c r="C133" s="116">
        <v>38</v>
      </c>
      <c r="D133" s="116">
        <v>-117</v>
      </c>
      <c r="E133" s="116">
        <v>95</v>
      </c>
      <c r="F133" s="116">
        <v>-26</v>
      </c>
      <c r="G133" s="116">
        <v>47</v>
      </c>
      <c r="H133" s="116">
        <v>20</v>
      </c>
      <c r="I133" s="116">
        <v>148</v>
      </c>
      <c r="J133" s="116">
        <v>-113</v>
      </c>
      <c r="K133" s="116">
        <v>-33</v>
      </c>
      <c r="L133" s="116">
        <v>-204</v>
      </c>
      <c r="M133" s="116">
        <v>160</v>
      </c>
      <c r="N133" s="116">
        <v>-253</v>
      </c>
      <c r="O133" s="626">
        <v>-42</v>
      </c>
      <c r="P133" s="626">
        <v>11</v>
      </c>
      <c r="Q133" s="626">
        <v>-30</v>
      </c>
      <c r="R133" s="626">
        <v>-6</v>
      </c>
      <c r="S133" s="116">
        <v>-60</v>
      </c>
      <c r="T133" s="116">
        <v>40</v>
      </c>
      <c r="U133" s="116">
        <v>19</v>
      </c>
      <c r="V133" s="116">
        <v>-28</v>
      </c>
      <c r="W133" s="116">
        <v>42</v>
      </c>
      <c r="X133" s="116">
        <v>-2</v>
      </c>
      <c r="Y133" s="116"/>
    </row>
    <row r="134" spans="1:26">
      <c r="A134" s="403" t="s">
        <v>416</v>
      </c>
      <c r="B134" s="529"/>
      <c r="C134" s="116">
        <v>92</v>
      </c>
      <c r="D134" s="116">
        <v>88</v>
      </c>
      <c r="E134" s="116">
        <v>96</v>
      </c>
      <c r="F134" s="116">
        <v>91</v>
      </c>
      <c r="G134" s="116">
        <v>116</v>
      </c>
      <c r="H134" s="116">
        <v>142</v>
      </c>
      <c r="I134" s="116">
        <v>152</v>
      </c>
      <c r="J134" s="116">
        <v>181</v>
      </c>
      <c r="K134" s="116">
        <v>210</v>
      </c>
      <c r="L134" s="116">
        <v>227</v>
      </c>
      <c r="M134" s="116">
        <v>186</v>
      </c>
      <c r="N134" s="116">
        <v>177</v>
      </c>
      <c r="O134" s="626">
        <v>188</v>
      </c>
      <c r="P134" s="626">
        <v>155</v>
      </c>
      <c r="Q134" s="626">
        <v>160</v>
      </c>
      <c r="R134" s="626">
        <v>170</v>
      </c>
      <c r="S134" s="116">
        <v>169</v>
      </c>
      <c r="T134" s="116">
        <v>176</v>
      </c>
      <c r="U134" s="116">
        <v>150</v>
      </c>
      <c r="V134" s="116">
        <v>136</v>
      </c>
      <c r="W134" s="116">
        <v>134</v>
      </c>
      <c r="X134" s="116">
        <v>141</v>
      </c>
      <c r="Y134" s="116"/>
    </row>
    <row r="135" spans="1:26">
      <c r="A135" s="403" t="s">
        <v>417</v>
      </c>
      <c r="B135" s="529"/>
      <c r="C135" s="116">
        <v>43</v>
      </c>
      <c r="D135" s="116">
        <v>100</v>
      </c>
      <c r="E135" s="116">
        <f>-104+3</f>
        <v>-101</v>
      </c>
      <c r="F135" s="116">
        <v>-133</v>
      </c>
      <c r="G135" s="116">
        <v>-11</v>
      </c>
      <c r="H135" s="116">
        <v>-15</v>
      </c>
      <c r="I135" s="116">
        <v>-160</v>
      </c>
      <c r="J135" s="116">
        <v>385</v>
      </c>
      <c r="K135" s="658">
        <f>107+2</f>
        <v>109</v>
      </c>
      <c r="L135" s="116">
        <f>385-K135</f>
        <v>276</v>
      </c>
      <c r="M135" s="116">
        <f>-149+1</f>
        <v>-148</v>
      </c>
      <c r="N135" s="116">
        <v>405</v>
      </c>
      <c r="O135" s="626">
        <f>4+43</f>
        <v>47</v>
      </c>
      <c r="P135" s="626">
        <v>48</v>
      </c>
      <c r="Q135" s="626">
        <v>-404</v>
      </c>
      <c r="R135" s="626">
        <v>31</v>
      </c>
      <c r="S135" s="116">
        <f>4+53</f>
        <v>57</v>
      </c>
      <c r="T135" s="116">
        <v>-121</v>
      </c>
      <c r="U135" s="116">
        <v>-109</v>
      </c>
      <c r="V135" s="116">
        <v>-11</v>
      </c>
      <c r="W135" s="116">
        <f>-33+5</f>
        <v>-28</v>
      </c>
      <c r="X135" s="116">
        <v>2</v>
      </c>
      <c r="Y135" s="116"/>
    </row>
    <row r="136" spans="1:26">
      <c r="A136" s="403" t="s">
        <v>261</v>
      </c>
      <c r="B136" s="529"/>
      <c r="C136" s="116">
        <f>87-14</f>
        <v>73</v>
      </c>
      <c r="D136" s="116">
        <f>-110-17</f>
        <v>-127</v>
      </c>
      <c r="E136" s="116">
        <f>765+51</f>
        <v>816</v>
      </c>
      <c r="F136" s="116">
        <v>447</v>
      </c>
      <c r="G136" s="116">
        <f>-1569-14</f>
        <v>-1583</v>
      </c>
      <c r="H136" s="116">
        <f>1559+20</f>
        <v>1579</v>
      </c>
      <c r="I136" s="116">
        <f>186-17</f>
        <v>169</v>
      </c>
      <c r="J136" s="116">
        <v>-651</v>
      </c>
      <c r="K136" s="116">
        <f>-2584+677</f>
        <v>-1907</v>
      </c>
      <c r="L136" s="116">
        <f>834-106</f>
        <v>728</v>
      </c>
      <c r="M136" s="116">
        <f>1741+27</f>
        <v>1768</v>
      </c>
      <c r="N136" s="116">
        <f>-1171+680-598</f>
        <v>-1089</v>
      </c>
      <c r="O136" s="626">
        <f>698-342</f>
        <v>356</v>
      </c>
      <c r="P136" s="626">
        <f>1378-62-1</f>
        <v>1315</v>
      </c>
      <c r="Q136" s="626">
        <f>-1670-1</f>
        <v>-1671</v>
      </c>
      <c r="R136" s="626">
        <f>1810+407-1</f>
        <v>2216</v>
      </c>
      <c r="S136" s="116">
        <v>-287</v>
      </c>
      <c r="T136" s="116">
        <v>-581</v>
      </c>
      <c r="U136" s="116">
        <v>-354</v>
      </c>
      <c r="V136" s="116">
        <v>1480</v>
      </c>
      <c r="W136" s="116">
        <v>558</v>
      </c>
      <c r="X136" s="116">
        <v>1144</v>
      </c>
      <c r="Y136" s="116"/>
    </row>
    <row r="137" spans="1:26">
      <c r="A137" s="403" t="s">
        <v>262</v>
      </c>
      <c r="B137" s="529"/>
      <c r="C137" s="116">
        <v>-45</v>
      </c>
      <c r="D137" s="116">
        <v>-354</v>
      </c>
      <c r="E137" s="116">
        <v>99</v>
      </c>
      <c r="F137" s="116">
        <v>-92</v>
      </c>
      <c r="G137" s="116">
        <v>-364</v>
      </c>
      <c r="H137" s="116">
        <v>122</v>
      </c>
      <c r="I137" s="116">
        <v>-147</v>
      </c>
      <c r="J137" s="116">
        <v>-151</v>
      </c>
      <c r="K137" s="116">
        <v>-234</v>
      </c>
      <c r="L137" s="116">
        <v>203</v>
      </c>
      <c r="M137" s="116">
        <v>-49</v>
      </c>
      <c r="N137" s="116">
        <v>-126</v>
      </c>
      <c r="O137" s="626">
        <v>-53</v>
      </c>
      <c r="P137" s="626">
        <v>11</v>
      </c>
      <c r="Q137" s="626">
        <v>-79</v>
      </c>
      <c r="R137" s="626">
        <v>-29</v>
      </c>
      <c r="S137" s="116">
        <v>-112</v>
      </c>
      <c r="T137" s="116">
        <v>-45</v>
      </c>
      <c r="U137" s="116">
        <v>-74</v>
      </c>
      <c r="V137" s="116">
        <v>-93</v>
      </c>
      <c r="W137" s="116">
        <v>-478</v>
      </c>
      <c r="X137" s="116">
        <v>-91</v>
      </c>
      <c r="Y137" s="116"/>
    </row>
    <row r="138" spans="1:26" s="393" customFormat="1" ht="13">
      <c r="A138" s="73" t="s">
        <v>389</v>
      </c>
      <c r="B138" s="530"/>
      <c r="C138" s="101">
        <f>SUM(C127:C137)</f>
        <v>1802</v>
      </c>
      <c r="D138" s="101">
        <f t="shared" ref="D138:I138" si="0">SUM(D127:D137)</f>
        <v>737</v>
      </c>
      <c r="E138" s="101">
        <f t="shared" si="0"/>
        <v>1684</v>
      </c>
      <c r="F138" s="101">
        <f t="shared" si="0"/>
        <v>732</v>
      </c>
      <c r="G138" s="101">
        <f t="shared" si="0"/>
        <v>-8</v>
      </c>
      <c r="H138" s="101">
        <f t="shared" si="0"/>
        <v>2078</v>
      </c>
      <c r="I138" s="101">
        <f t="shared" si="0"/>
        <v>418</v>
      </c>
      <c r="J138" s="101">
        <v>287</v>
      </c>
      <c r="K138" s="101">
        <v>-645</v>
      </c>
      <c r="L138" s="101">
        <v>2985</v>
      </c>
      <c r="M138" s="101">
        <v>2900</v>
      </c>
      <c r="N138" s="101">
        <v>-624</v>
      </c>
      <c r="O138" s="393">
        <v>2144</v>
      </c>
      <c r="P138" s="393">
        <v>3020</v>
      </c>
      <c r="Q138" s="101">
        <v>-780</v>
      </c>
      <c r="R138" s="393">
        <v>3588</v>
      </c>
      <c r="S138" s="393">
        <v>1811</v>
      </c>
      <c r="T138" s="393">
        <v>1136</v>
      </c>
      <c r="U138" s="393">
        <v>1328</v>
      </c>
      <c r="V138" s="393">
        <v>2706</v>
      </c>
      <c r="W138" s="393">
        <v>2108</v>
      </c>
      <c r="X138" s="101">
        <v>2659</v>
      </c>
    </row>
    <row r="139" spans="1:26">
      <c r="A139" s="263" t="s">
        <v>264</v>
      </c>
      <c r="F139" s="116"/>
      <c r="H139" s="116"/>
      <c r="K139" s="116"/>
      <c r="L139" s="116"/>
      <c r="O139" s="626"/>
      <c r="P139" s="626"/>
      <c r="Q139" s="626"/>
      <c r="R139" s="626"/>
      <c r="S139" s="116"/>
      <c r="T139" s="116"/>
      <c r="U139" s="116"/>
      <c r="V139" s="116"/>
      <c r="X139" s="116"/>
      <c r="Y139" s="116"/>
    </row>
    <row r="140" spans="1:26" ht="26">
      <c r="A140" s="264" t="s">
        <v>395</v>
      </c>
      <c r="B140" s="529"/>
      <c r="C140" s="116">
        <v>-967</v>
      </c>
      <c r="D140" s="116">
        <v>-707</v>
      </c>
      <c r="E140" s="116">
        <f>-717-1</f>
        <v>-718</v>
      </c>
      <c r="F140" s="116">
        <v>-863</v>
      </c>
      <c r="G140" s="116">
        <v>-876</v>
      </c>
      <c r="H140" s="116">
        <v>-839</v>
      </c>
      <c r="I140" s="116">
        <v>-901</v>
      </c>
      <c r="J140" s="116">
        <v>-1263</v>
      </c>
      <c r="K140" s="116">
        <v>-1014</v>
      </c>
      <c r="L140" s="116">
        <v>-1086</v>
      </c>
      <c r="M140" s="116">
        <v>-1210</v>
      </c>
      <c r="N140" s="116">
        <v>-1531</v>
      </c>
      <c r="O140" s="626">
        <v>-1031</v>
      </c>
      <c r="P140" s="626">
        <v>-1075</v>
      </c>
      <c r="Q140" s="626">
        <v>-1384</v>
      </c>
      <c r="R140" s="626">
        <v>-1251</v>
      </c>
      <c r="S140" s="116">
        <v>-1424</v>
      </c>
      <c r="T140" s="116">
        <v>-1264</v>
      </c>
      <c r="U140" s="116">
        <v>-1454</v>
      </c>
      <c r="V140" s="116">
        <v>-1895</v>
      </c>
      <c r="W140" s="116">
        <v>-1467</v>
      </c>
      <c r="X140" s="116">
        <v>-1276</v>
      </c>
      <c r="Y140" s="116"/>
    </row>
    <row r="141" spans="1:26">
      <c r="A141" s="79" t="s">
        <v>396</v>
      </c>
      <c r="B141" s="529"/>
      <c r="C141" s="116">
        <v>-5</v>
      </c>
      <c r="D141" s="116">
        <v>-5</v>
      </c>
      <c r="E141" s="116">
        <v>-5</v>
      </c>
      <c r="F141" s="116">
        <v>-13</v>
      </c>
      <c r="G141" s="116">
        <v>-12</v>
      </c>
      <c r="H141" s="116">
        <v>-10</v>
      </c>
      <c r="I141" s="116">
        <v>-2</v>
      </c>
      <c r="J141" s="116">
        <v>-4</v>
      </c>
      <c r="K141" s="389">
        <v>0</v>
      </c>
      <c r="L141" s="116">
        <v>-6</v>
      </c>
      <c r="M141" s="116">
        <v>-9</v>
      </c>
      <c r="N141" s="116">
        <v>-1</v>
      </c>
      <c r="O141" s="389">
        <v>0</v>
      </c>
      <c r="P141" s="626">
        <v>-1</v>
      </c>
      <c r="Q141" s="626">
        <v>-4</v>
      </c>
      <c r="R141" s="389">
        <v>0</v>
      </c>
      <c r="S141" s="389">
        <v>0</v>
      </c>
      <c r="T141" s="116">
        <v>-2</v>
      </c>
      <c r="U141" s="116">
        <v>-1</v>
      </c>
      <c r="V141" s="389">
        <v>0</v>
      </c>
      <c r="W141" s="389">
        <v>0</v>
      </c>
      <c r="X141" s="389">
        <v>0</v>
      </c>
      <c r="Y141" s="116"/>
    </row>
    <row r="142" spans="1:26" ht="13">
      <c r="A142" s="79" t="s">
        <v>397</v>
      </c>
      <c r="B142" s="529"/>
      <c r="C142" s="389">
        <v>0</v>
      </c>
      <c r="D142" s="116">
        <v>-1</v>
      </c>
      <c r="E142" s="581">
        <v>0</v>
      </c>
      <c r="F142" s="581">
        <v>0</v>
      </c>
      <c r="G142" s="116">
        <v>-120</v>
      </c>
      <c r="H142" s="389">
        <v>0</v>
      </c>
      <c r="I142" s="389">
        <v>0</v>
      </c>
      <c r="J142" s="389">
        <v>0</v>
      </c>
      <c r="K142" s="116">
        <v>-1</v>
      </c>
      <c r="L142" s="389">
        <v>0</v>
      </c>
      <c r="M142" s="389">
        <v>0</v>
      </c>
      <c r="N142" s="116">
        <v>1</v>
      </c>
      <c r="O142" s="389">
        <v>0</v>
      </c>
      <c r="P142" s="389">
        <v>0</v>
      </c>
      <c r="Q142" s="389">
        <v>0</v>
      </c>
      <c r="R142" s="389">
        <v>0</v>
      </c>
      <c r="S142" s="389">
        <v>0</v>
      </c>
      <c r="T142" s="389">
        <v>0</v>
      </c>
      <c r="U142" s="389">
        <v>0</v>
      </c>
      <c r="V142" s="389">
        <v>0</v>
      </c>
      <c r="W142" s="389">
        <v>0</v>
      </c>
      <c r="X142" s="389">
        <v>0</v>
      </c>
      <c r="Y142" s="116"/>
    </row>
    <row r="143" spans="1:26" ht="13">
      <c r="A143" s="79" t="s">
        <v>748</v>
      </c>
      <c r="B143" s="529"/>
      <c r="C143" s="389"/>
      <c r="D143" s="116"/>
      <c r="E143" s="581"/>
      <c r="F143" s="581">
        <v>0</v>
      </c>
      <c r="G143" s="116"/>
      <c r="H143" s="389"/>
      <c r="I143" s="389"/>
      <c r="J143" s="116">
        <v>-216</v>
      </c>
      <c r="K143" s="389">
        <v>0</v>
      </c>
      <c r="L143" s="389">
        <v>0</v>
      </c>
      <c r="M143" s="389">
        <v>0</v>
      </c>
      <c r="N143" s="389">
        <v>0</v>
      </c>
      <c r="O143" s="389">
        <v>0</v>
      </c>
      <c r="P143" s="389">
        <v>0</v>
      </c>
      <c r="Q143" s="389">
        <v>0</v>
      </c>
      <c r="R143" s="389">
        <v>0</v>
      </c>
      <c r="S143" s="389">
        <v>0</v>
      </c>
      <c r="T143" s="389">
        <v>0</v>
      </c>
      <c r="U143" s="389">
        <v>0</v>
      </c>
      <c r="V143" s="389">
        <v>0</v>
      </c>
      <c r="W143" s="389">
        <v>0</v>
      </c>
      <c r="X143" s="389">
        <v>0</v>
      </c>
      <c r="Y143" s="116"/>
    </row>
    <row r="144" spans="1:26" ht="13">
      <c r="A144" s="79" t="s">
        <v>398</v>
      </c>
      <c r="B144" s="529"/>
      <c r="C144" s="389">
        <v>0</v>
      </c>
      <c r="D144" s="389">
        <v>0</v>
      </c>
      <c r="E144" s="389">
        <v>0</v>
      </c>
      <c r="F144" s="389">
        <v>0</v>
      </c>
      <c r="G144" s="389">
        <v>0</v>
      </c>
      <c r="H144" s="389">
        <v>0</v>
      </c>
      <c r="I144" s="116"/>
      <c r="J144" s="116">
        <v>-14</v>
      </c>
      <c r="K144" s="389">
        <v>0</v>
      </c>
      <c r="L144" s="389">
        <v>0</v>
      </c>
      <c r="M144" s="389">
        <v>0</v>
      </c>
      <c r="N144" s="389">
        <v>0</v>
      </c>
      <c r="O144" s="389">
        <v>0</v>
      </c>
      <c r="P144" s="389">
        <v>0</v>
      </c>
      <c r="Q144" s="389">
        <v>0</v>
      </c>
      <c r="R144" s="389">
        <v>0</v>
      </c>
      <c r="S144" s="389">
        <v>0</v>
      </c>
      <c r="T144" s="389">
        <v>0</v>
      </c>
      <c r="U144" s="389">
        <v>0</v>
      </c>
      <c r="V144" s="116">
        <v>-3</v>
      </c>
      <c r="W144" s="389">
        <v>0</v>
      </c>
      <c r="X144" s="389">
        <v>0</v>
      </c>
      <c r="Y144" s="116"/>
    </row>
    <row r="145" spans="1:25">
      <c r="A145" s="558" t="s">
        <v>265</v>
      </c>
      <c r="B145" s="529"/>
      <c r="C145" s="77">
        <v>-972</v>
      </c>
      <c r="D145" s="506">
        <v>-713</v>
      </c>
      <c r="E145" s="77">
        <f>-722-1</f>
        <v>-723</v>
      </c>
      <c r="F145" s="77">
        <v>-876</v>
      </c>
      <c r="G145" s="77">
        <v>-1008</v>
      </c>
      <c r="H145" s="77">
        <v>-849</v>
      </c>
      <c r="I145" s="116">
        <v>-903</v>
      </c>
      <c r="J145" s="116">
        <v>-1497</v>
      </c>
      <c r="K145" s="116">
        <v>-1015</v>
      </c>
      <c r="L145" s="116">
        <v>-1092</v>
      </c>
      <c r="M145" s="116">
        <v>-1219</v>
      </c>
      <c r="N145" s="116">
        <v>-1531</v>
      </c>
      <c r="O145" s="626">
        <v>-1031</v>
      </c>
      <c r="P145" s="626">
        <f>P140+P141</f>
        <v>-1076</v>
      </c>
      <c r="Q145" s="626">
        <v>-1388</v>
      </c>
      <c r="R145" s="626">
        <v>-1251</v>
      </c>
      <c r="S145" s="116">
        <v>-1424</v>
      </c>
      <c r="T145" s="116">
        <v>-1266</v>
      </c>
      <c r="U145" s="116">
        <v>-1455</v>
      </c>
      <c r="V145" s="116">
        <v>-1898</v>
      </c>
      <c r="W145" s="116">
        <v>-1467</v>
      </c>
      <c r="X145" s="116">
        <v>-1276</v>
      </c>
      <c r="Y145" s="116"/>
    </row>
    <row r="146" spans="1:25" ht="26">
      <c r="A146" s="250" t="s">
        <v>410</v>
      </c>
      <c r="B146" s="529"/>
      <c r="C146" s="74">
        <v>18</v>
      </c>
      <c r="D146" s="116">
        <v>5</v>
      </c>
      <c r="E146" s="74">
        <v>2</v>
      </c>
      <c r="F146" s="74">
        <v>51</v>
      </c>
      <c r="G146" s="74">
        <v>5</v>
      </c>
      <c r="H146" s="74">
        <v>9</v>
      </c>
      <c r="I146" s="116">
        <v>4</v>
      </c>
      <c r="J146" s="116">
        <v>10</v>
      </c>
      <c r="K146" s="116">
        <v>3</v>
      </c>
      <c r="L146" s="116">
        <v>8</v>
      </c>
      <c r="M146" s="116">
        <v>8</v>
      </c>
      <c r="N146" s="116">
        <v>44</v>
      </c>
      <c r="O146" s="626">
        <v>6</v>
      </c>
      <c r="P146" s="626">
        <v>8</v>
      </c>
      <c r="Q146" s="626">
        <v>7</v>
      </c>
      <c r="R146" s="626">
        <v>4</v>
      </c>
      <c r="S146" s="116">
        <v>3</v>
      </c>
      <c r="T146" s="116">
        <v>4</v>
      </c>
      <c r="U146" s="116">
        <v>4</v>
      </c>
      <c r="V146" s="116">
        <v>16</v>
      </c>
      <c r="W146" s="116">
        <v>5</v>
      </c>
      <c r="X146" s="116">
        <v>6</v>
      </c>
      <c r="Y146" s="116"/>
    </row>
    <row r="147" spans="1:25">
      <c r="A147" s="79" t="s">
        <v>400</v>
      </c>
      <c r="B147" s="529"/>
      <c r="C147" s="389">
        <v>0</v>
      </c>
      <c r="D147" s="389">
        <v>0</v>
      </c>
      <c r="E147" s="74">
        <v>46</v>
      </c>
      <c r="F147" s="74">
        <v>1</v>
      </c>
      <c r="G147" s="389">
        <v>0</v>
      </c>
      <c r="H147" s="389">
        <v>0</v>
      </c>
      <c r="I147" s="116">
        <v>49</v>
      </c>
      <c r="J147" s="116">
        <v>23</v>
      </c>
      <c r="K147" s="389">
        <v>0</v>
      </c>
      <c r="L147" s="389">
        <v>0</v>
      </c>
      <c r="M147" s="116">
        <v>1</v>
      </c>
      <c r="N147" s="116">
        <v>-1</v>
      </c>
      <c r="O147" s="389">
        <v>0</v>
      </c>
      <c r="P147" s="389">
        <v>0</v>
      </c>
      <c r="Q147" s="626">
        <v>2</v>
      </c>
      <c r="R147" s="389">
        <v>0</v>
      </c>
      <c r="S147" s="389">
        <v>0</v>
      </c>
      <c r="T147" s="389">
        <v>0</v>
      </c>
      <c r="U147" s="116">
        <v>20</v>
      </c>
      <c r="V147" s="116">
        <v>22</v>
      </c>
      <c r="W147" s="389">
        <v>0</v>
      </c>
      <c r="X147" s="389">
        <v>0</v>
      </c>
      <c r="Y147" s="116"/>
    </row>
    <row r="148" spans="1:25">
      <c r="A148" s="79" t="s">
        <v>401</v>
      </c>
      <c r="B148" s="529"/>
      <c r="C148" s="74">
        <v>57</v>
      </c>
      <c r="D148" s="116">
        <v>9</v>
      </c>
      <c r="E148" s="74">
        <v>-9</v>
      </c>
      <c r="F148" s="74">
        <v>1</v>
      </c>
      <c r="G148" s="389">
        <v>0</v>
      </c>
      <c r="H148" s="74">
        <v>2</v>
      </c>
      <c r="I148" s="116">
        <v>3</v>
      </c>
      <c r="J148" s="116">
        <v>176</v>
      </c>
      <c r="K148" s="116">
        <v>1</v>
      </c>
      <c r="L148" s="116">
        <v>1</v>
      </c>
      <c r="M148" s="116">
        <v>-1</v>
      </c>
      <c r="N148" s="116">
        <v>-1</v>
      </c>
      <c r="O148" s="626">
        <v>5</v>
      </c>
      <c r="P148" s="626">
        <v>36</v>
      </c>
      <c r="Q148" s="626">
        <f>1+17</f>
        <v>18</v>
      </c>
      <c r="R148" s="626">
        <f>21</f>
        <v>21</v>
      </c>
      <c r="S148" s="116">
        <v>6</v>
      </c>
      <c r="T148" s="116">
        <v>53</v>
      </c>
      <c r="U148" s="116">
        <v>35</v>
      </c>
      <c r="V148" s="116">
        <v>50</v>
      </c>
      <c r="W148" s="116">
        <v>15</v>
      </c>
      <c r="X148" s="116">
        <v>109</v>
      </c>
      <c r="Y148" s="116"/>
    </row>
    <row r="149" spans="1:25">
      <c r="A149" s="558" t="s">
        <v>266</v>
      </c>
      <c r="B149" s="529"/>
      <c r="C149" s="77">
        <v>75</v>
      </c>
      <c r="D149" s="506">
        <v>14</v>
      </c>
      <c r="E149" s="77">
        <v>39</v>
      </c>
      <c r="F149" s="77">
        <v>53</v>
      </c>
      <c r="G149" s="77">
        <v>5</v>
      </c>
      <c r="H149" s="77">
        <v>11</v>
      </c>
      <c r="I149" s="77">
        <v>56</v>
      </c>
      <c r="J149" s="77">
        <v>209</v>
      </c>
      <c r="K149" s="116">
        <v>4</v>
      </c>
      <c r="L149" s="116">
        <v>9</v>
      </c>
      <c r="M149" s="116">
        <v>8</v>
      </c>
      <c r="N149" s="116">
        <v>42</v>
      </c>
      <c r="O149" s="626">
        <v>11</v>
      </c>
      <c r="P149" s="626">
        <v>44</v>
      </c>
      <c r="Q149" s="666">
        <f>10+17</f>
        <v>27</v>
      </c>
      <c r="R149" s="666">
        <f>4+21</f>
        <v>25</v>
      </c>
      <c r="S149" s="666">
        <v>9</v>
      </c>
      <c r="T149" s="666">
        <v>57</v>
      </c>
      <c r="U149" s="666">
        <v>59</v>
      </c>
      <c r="V149" s="666">
        <v>88</v>
      </c>
      <c r="W149" s="666">
        <v>20</v>
      </c>
      <c r="X149" s="666">
        <v>115</v>
      </c>
      <c r="Y149" s="116"/>
    </row>
    <row r="150" spans="1:25" s="393" customFormat="1" ht="13">
      <c r="A150" s="73" t="s">
        <v>402</v>
      </c>
      <c r="B150" s="530"/>
      <c r="C150" s="100">
        <v>-897</v>
      </c>
      <c r="D150" s="100">
        <v>-699</v>
      </c>
      <c r="E150" s="100">
        <f>-682-2</f>
        <v>-684</v>
      </c>
      <c r="F150" s="100">
        <v>-823</v>
      </c>
      <c r="G150" s="100">
        <v>-1003</v>
      </c>
      <c r="H150" s="100">
        <v>-838</v>
      </c>
      <c r="I150" s="100">
        <v>-847</v>
      </c>
      <c r="J150" s="100">
        <v>-1288</v>
      </c>
      <c r="K150" s="100">
        <v>-1011</v>
      </c>
      <c r="L150" s="100">
        <v>-1083</v>
      </c>
      <c r="M150" s="100">
        <v>-1211</v>
      </c>
      <c r="N150" s="100">
        <v>-1489</v>
      </c>
      <c r="O150" s="100">
        <v>-1020</v>
      </c>
      <c r="P150" s="100">
        <v>-1032</v>
      </c>
      <c r="Q150" s="100">
        <f>-1378+17</f>
        <v>-1361</v>
      </c>
      <c r="R150" s="100">
        <f>-1247+21</f>
        <v>-1226</v>
      </c>
      <c r="S150" s="100">
        <f>S145+S149</f>
        <v>-1415</v>
      </c>
      <c r="T150" s="100">
        <v>-1209</v>
      </c>
      <c r="U150" s="100">
        <v>-1396</v>
      </c>
      <c r="V150" s="100">
        <v>-1810</v>
      </c>
      <c r="W150" s="100">
        <v>-1447</v>
      </c>
      <c r="X150" s="100">
        <v>-1161</v>
      </c>
      <c r="Y150" s="116"/>
    </row>
    <row r="151" spans="1:25">
      <c r="A151" s="558" t="s">
        <v>268</v>
      </c>
      <c r="H151" s="116"/>
      <c r="I151" s="116"/>
      <c r="J151" s="116"/>
      <c r="K151" s="116"/>
      <c r="L151" s="116"/>
      <c r="O151" s="389"/>
      <c r="P151" s="626"/>
      <c r="Q151" s="116"/>
      <c r="R151" s="116"/>
      <c r="S151" s="116"/>
      <c r="T151" s="116"/>
      <c r="U151" s="116"/>
      <c r="V151" s="116"/>
      <c r="X151" s="116"/>
      <c r="Y151" s="116"/>
    </row>
    <row r="152" spans="1:25" ht="13">
      <c r="A152" s="403" t="s">
        <v>425</v>
      </c>
      <c r="B152" s="531"/>
      <c r="C152" s="502">
        <v>0</v>
      </c>
      <c r="D152" s="502">
        <v>0</v>
      </c>
      <c r="E152" s="502">
        <v>0</v>
      </c>
      <c r="F152" s="116">
        <v>-170</v>
      </c>
      <c r="H152" s="116"/>
      <c r="I152" s="116"/>
      <c r="J152" s="116">
        <v>-170</v>
      </c>
      <c r="K152" s="389">
        <v>0</v>
      </c>
      <c r="L152" s="389">
        <f>'Hist. dane półr. - H figures'!G152-'Hist. dane kwart. - Q figures'!K152</f>
        <v>0</v>
      </c>
      <c r="M152" s="389">
        <v>0</v>
      </c>
      <c r="N152" s="116">
        <v>-170</v>
      </c>
      <c r="O152" s="389">
        <v>0</v>
      </c>
      <c r="P152" s="389">
        <v>0</v>
      </c>
      <c r="Q152" s="389">
        <v>0</v>
      </c>
      <c r="R152" s="116">
        <v>-982</v>
      </c>
      <c r="S152" s="389">
        <v>0</v>
      </c>
      <c r="T152" s="389">
        <v>0</v>
      </c>
      <c r="U152" s="389">
        <v>0</v>
      </c>
      <c r="V152" s="116">
        <v>-1750</v>
      </c>
      <c r="W152" s="116">
        <v>-400</v>
      </c>
      <c r="X152" s="389">
        <v>0</v>
      </c>
      <c r="Y152" s="116"/>
    </row>
    <row r="153" spans="1:25">
      <c r="A153" s="403" t="s">
        <v>426</v>
      </c>
      <c r="B153" s="531"/>
      <c r="C153" s="116">
        <v>-736</v>
      </c>
      <c r="D153" s="116">
        <v>-1072</v>
      </c>
      <c r="E153" s="116">
        <v>-1036</v>
      </c>
      <c r="F153" s="116">
        <v>-622</v>
      </c>
      <c r="G153" s="116">
        <v>-1187</v>
      </c>
      <c r="H153" s="116">
        <v>-1922</v>
      </c>
      <c r="I153" s="116">
        <v>-686</v>
      </c>
      <c r="J153" s="116">
        <v>-2272</v>
      </c>
      <c r="K153" s="116">
        <v>-1726</v>
      </c>
      <c r="L153" s="116">
        <v>-2473</v>
      </c>
      <c r="M153" s="116">
        <v>-1237</v>
      </c>
      <c r="N153" s="116">
        <v>-1322</v>
      </c>
      <c r="O153" s="626">
        <v>-1086</v>
      </c>
      <c r="P153" s="626">
        <v>-2683</v>
      </c>
      <c r="Q153" s="116">
        <v>-1590</v>
      </c>
      <c r="R153" s="116">
        <v>-3715</v>
      </c>
      <c r="S153" s="116">
        <v>-795</v>
      </c>
      <c r="T153" s="116">
        <v>-2081</v>
      </c>
      <c r="U153" s="116">
        <v>-344</v>
      </c>
      <c r="V153" s="116">
        <v>-127</v>
      </c>
      <c r="W153" s="116">
        <v>-83</v>
      </c>
      <c r="X153" s="116">
        <v>-45</v>
      </c>
      <c r="Y153" s="116"/>
    </row>
    <row r="154" spans="1:25" ht="13">
      <c r="A154" s="403" t="s">
        <v>935</v>
      </c>
      <c r="B154" s="531"/>
      <c r="C154" s="116">
        <v>0</v>
      </c>
      <c r="D154" s="116">
        <v>0</v>
      </c>
      <c r="E154" s="116">
        <v>0</v>
      </c>
      <c r="F154" s="116">
        <v>0</v>
      </c>
      <c r="G154" s="116">
        <v>-1061</v>
      </c>
      <c r="H154" s="389">
        <v>0</v>
      </c>
      <c r="I154" s="389">
        <v>0</v>
      </c>
      <c r="J154" s="389">
        <v>0</v>
      </c>
      <c r="K154" s="389">
        <v>0</v>
      </c>
      <c r="L154" s="389">
        <v>0</v>
      </c>
      <c r="M154" s="389">
        <v>0</v>
      </c>
      <c r="N154" s="389">
        <v>0</v>
      </c>
      <c r="O154" s="389">
        <v>0</v>
      </c>
      <c r="P154" s="389">
        <v>0</v>
      </c>
      <c r="Q154" s="389">
        <v>0</v>
      </c>
      <c r="R154" s="389">
        <v>0</v>
      </c>
      <c r="S154" s="389">
        <v>0</v>
      </c>
      <c r="T154" s="116">
        <v>-37</v>
      </c>
      <c r="U154" s="389">
        <v>0</v>
      </c>
      <c r="V154" s="389">
        <v>0</v>
      </c>
      <c r="W154" s="389">
        <v>0</v>
      </c>
      <c r="X154" s="389">
        <v>0</v>
      </c>
      <c r="Y154" s="116"/>
    </row>
    <row r="155" spans="1:25">
      <c r="A155" s="403" t="s">
        <v>427</v>
      </c>
      <c r="B155" s="531"/>
      <c r="C155" s="116">
        <v>-22</v>
      </c>
      <c r="D155" s="116">
        <v>-69</v>
      </c>
      <c r="E155" s="116">
        <f>-75+1</f>
        <v>-74</v>
      </c>
      <c r="F155" s="116">
        <v>-178</v>
      </c>
      <c r="G155" s="116">
        <v>-32</v>
      </c>
      <c r="H155" s="116">
        <v>-82</v>
      </c>
      <c r="I155" s="116">
        <v>-136</v>
      </c>
      <c r="J155" s="116">
        <v>-250</v>
      </c>
      <c r="K155" s="116">
        <v>-79</v>
      </c>
      <c r="L155" s="116">
        <v>-235</v>
      </c>
      <c r="M155" s="116">
        <v>-138</v>
      </c>
      <c r="N155" s="116">
        <v>-245</v>
      </c>
      <c r="O155" s="626">
        <v>-106</v>
      </c>
      <c r="P155" s="626">
        <v>-132</v>
      </c>
      <c r="Q155" s="116">
        <v>-129</v>
      </c>
      <c r="R155" s="116">
        <v>-220</v>
      </c>
      <c r="S155" s="116">
        <v>-90</v>
      </c>
      <c r="T155" s="116">
        <v>-133</v>
      </c>
      <c r="U155" s="116">
        <v>-140</v>
      </c>
      <c r="V155" s="116">
        <v>-178</v>
      </c>
      <c r="W155" s="116">
        <v>-87</v>
      </c>
      <c r="X155" s="116">
        <v>-85</v>
      </c>
      <c r="Y155" s="116"/>
    </row>
    <row r="156" spans="1:25">
      <c r="A156" s="403" t="s">
        <v>689</v>
      </c>
      <c r="B156" s="531"/>
      <c r="C156" s="116">
        <v>-61</v>
      </c>
      <c r="D156" s="116">
        <v>-22</v>
      </c>
      <c r="E156" s="116">
        <v>-17</v>
      </c>
      <c r="F156" s="116">
        <v>-17</v>
      </c>
      <c r="G156" s="116">
        <v>-64</v>
      </c>
      <c r="H156" s="116">
        <v>-27</v>
      </c>
      <c r="I156" s="116">
        <v>-19</v>
      </c>
      <c r="J156" s="116">
        <v>-16</v>
      </c>
      <c r="K156" s="116">
        <v>-68</v>
      </c>
      <c r="L156" s="116">
        <v>-14</v>
      </c>
      <c r="M156" s="116">
        <v>-10</v>
      </c>
      <c r="N156" s="116">
        <v>-13</v>
      </c>
      <c r="O156" s="626">
        <v>-72</v>
      </c>
      <c r="P156" s="626">
        <v>-24</v>
      </c>
      <c r="Q156" s="116">
        <v>-14</v>
      </c>
      <c r="R156" s="116">
        <v>-12</v>
      </c>
      <c r="S156" s="116">
        <v>-84</v>
      </c>
      <c r="T156" s="116">
        <v>-22</v>
      </c>
      <c r="U156" s="116">
        <v>-12</v>
      </c>
      <c r="V156" s="116">
        <v>-15</v>
      </c>
      <c r="W156" s="116">
        <v>-95</v>
      </c>
      <c r="X156" s="116">
        <v>-21</v>
      </c>
      <c r="Y156" s="116"/>
    </row>
    <row r="157" spans="1:25">
      <c r="A157" s="403" t="s">
        <v>421</v>
      </c>
      <c r="B157" s="531"/>
      <c r="C157" s="116">
        <v>-7</v>
      </c>
      <c r="D157" s="116">
        <v>-3</v>
      </c>
      <c r="E157" s="116">
        <f>-8-1</f>
        <v>-9</v>
      </c>
      <c r="F157" s="116">
        <v>-5</v>
      </c>
      <c r="G157" s="116">
        <v>-8</v>
      </c>
      <c r="H157" s="116">
        <v>-1</v>
      </c>
      <c r="I157" s="116">
        <v>-9</v>
      </c>
      <c r="J157" s="116">
        <v>-18</v>
      </c>
      <c r="K157" s="116">
        <v>-2</v>
      </c>
      <c r="L157" s="389">
        <v>0</v>
      </c>
      <c r="M157" s="116">
        <f>1-3</f>
        <v>-2</v>
      </c>
      <c r="N157" s="116">
        <f>-7+3</f>
        <v>-4</v>
      </c>
      <c r="O157" s="626">
        <v>-1</v>
      </c>
      <c r="P157" s="626">
        <v>-6</v>
      </c>
      <c r="Q157" s="116">
        <v>-10</v>
      </c>
      <c r="R157" s="116">
        <v>-4</v>
      </c>
      <c r="S157" s="116">
        <v>-8</v>
      </c>
      <c r="T157" s="116">
        <v>-2</v>
      </c>
      <c r="U157" s="116">
        <v>-6</v>
      </c>
      <c r="V157" s="116">
        <v>-6</v>
      </c>
      <c r="W157" s="116">
        <v>-9</v>
      </c>
      <c r="X157" s="116">
        <v>-2</v>
      </c>
      <c r="Y157" s="116"/>
    </row>
    <row r="158" spans="1:25">
      <c r="A158" s="558" t="s">
        <v>265</v>
      </c>
      <c r="B158" s="531"/>
      <c r="C158" s="506">
        <v>-826</v>
      </c>
      <c r="D158" s="506">
        <v>-1166</v>
      </c>
      <c r="E158" s="506">
        <v>-1136</v>
      </c>
      <c r="F158" s="506">
        <v>-992</v>
      </c>
      <c r="G158" s="506">
        <v>-2352</v>
      </c>
      <c r="H158" s="506">
        <v>-2032</v>
      </c>
      <c r="I158" s="506">
        <v>-850</v>
      </c>
      <c r="J158" s="506">
        <v>-2726</v>
      </c>
      <c r="K158" s="116">
        <v>-1875</v>
      </c>
      <c r="L158" s="116">
        <v>-2722</v>
      </c>
      <c r="M158" s="116">
        <f>-1384-3</f>
        <v>-1387</v>
      </c>
      <c r="N158" s="116">
        <f>-1757+3</f>
        <v>-1754</v>
      </c>
      <c r="O158" s="626">
        <v>-1265</v>
      </c>
      <c r="P158" s="626">
        <v>-2845</v>
      </c>
      <c r="Q158" s="116">
        <v>-1743</v>
      </c>
      <c r="R158" s="506">
        <v>-4933</v>
      </c>
      <c r="S158" s="506">
        <v>-977</v>
      </c>
      <c r="T158" s="506">
        <v>-2275</v>
      </c>
      <c r="U158" s="506">
        <v>-502</v>
      </c>
      <c r="V158" s="506">
        <v>-2076</v>
      </c>
      <c r="W158" s="506">
        <v>-674</v>
      </c>
      <c r="X158" s="506">
        <v>-153</v>
      </c>
      <c r="Y158" s="116"/>
    </row>
    <row r="159" spans="1:25">
      <c r="A159" s="403" t="s">
        <v>429</v>
      </c>
      <c r="B159" s="531"/>
      <c r="C159" s="116">
        <v>303</v>
      </c>
      <c r="D159" s="116">
        <v>300</v>
      </c>
      <c r="E159" s="116">
        <v>100</v>
      </c>
      <c r="F159" s="116">
        <v>1300</v>
      </c>
      <c r="G159" s="116">
        <v>3796</v>
      </c>
      <c r="H159" s="116">
        <v>400</v>
      </c>
      <c r="I159" s="116">
        <v>1350</v>
      </c>
      <c r="J159" s="116">
        <v>3894</v>
      </c>
      <c r="K159" s="116">
        <v>3550</v>
      </c>
      <c r="L159" s="116">
        <v>844</v>
      </c>
      <c r="M159" s="116">
        <v>449</v>
      </c>
      <c r="N159" s="116">
        <v>3139</v>
      </c>
      <c r="O159" s="626">
        <v>172</v>
      </c>
      <c r="P159" s="626">
        <v>250</v>
      </c>
      <c r="Q159" s="116">
        <v>3960</v>
      </c>
      <c r="R159" s="116">
        <v>2580</v>
      </c>
      <c r="S159" s="116">
        <v>1551</v>
      </c>
      <c r="T159" s="116">
        <v>970</v>
      </c>
      <c r="U159" s="116">
        <v>667</v>
      </c>
      <c r="V159" s="116">
        <v>1189</v>
      </c>
      <c r="W159" s="116">
        <v>584</v>
      </c>
      <c r="X159" s="116">
        <v>394</v>
      </c>
      <c r="Y159" s="116"/>
    </row>
    <row r="160" spans="1:25" ht="13">
      <c r="A160" s="403" t="s">
        <v>430</v>
      </c>
      <c r="B160" s="531"/>
      <c r="C160" s="116">
        <v>42</v>
      </c>
      <c r="D160" s="116">
        <v>14</v>
      </c>
      <c r="E160" s="116">
        <v>31</v>
      </c>
      <c r="F160" s="116">
        <v>27</v>
      </c>
      <c r="G160" s="116">
        <v>15</v>
      </c>
      <c r="H160" s="116">
        <v>5</v>
      </c>
      <c r="I160" s="116">
        <v>2</v>
      </c>
      <c r="J160" s="116">
        <v>16</v>
      </c>
      <c r="K160" s="116">
        <v>10</v>
      </c>
      <c r="L160" s="116">
        <v>3</v>
      </c>
      <c r="M160" s="116">
        <v>7</v>
      </c>
      <c r="N160" s="116">
        <v>16</v>
      </c>
      <c r="O160" s="389">
        <v>0</v>
      </c>
      <c r="P160" s="389">
        <v>0</v>
      </c>
      <c r="Q160" s="389">
        <v>0</v>
      </c>
      <c r="R160" s="116"/>
      <c r="S160" s="389">
        <v>0</v>
      </c>
      <c r="T160" s="389">
        <v>0</v>
      </c>
      <c r="U160" s="389">
        <v>0</v>
      </c>
      <c r="V160" s="389">
        <v>0</v>
      </c>
      <c r="W160" s="389">
        <v>0</v>
      </c>
      <c r="X160" s="389">
        <v>0</v>
      </c>
      <c r="Y160" s="116"/>
    </row>
    <row r="161" spans="1:25" ht="13">
      <c r="A161" s="403" t="s">
        <v>428</v>
      </c>
      <c r="B161" s="531"/>
      <c r="C161" s="389">
        <v>0</v>
      </c>
      <c r="D161" s="389">
        <v>0</v>
      </c>
      <c r="E161" s="389">
        <v>0</v>
      </c>
      <c r="F161" s="389">
        <v>0</v>
      </c>
      <c r="G161" s="389">
        <v>0</v>
      </c>
      <c r="H161" s="389">
        <v>0</v>
      </c>
      <c r="I161" s="389"/>
      <c r="J161" s="389">
        <v>0</v>
      </c>
      <c r="K161" s="389">
        <v>0</v>
      </c>
      <c r="L161" s="389">
        <v>0</v>
      </c>
      <c r="M161" s="389"/>
      <c r="N161" s="389">
        <v>0</v>
      </c>
      <c r="O161" s="389">
        <v>0</v>
      </c>
      <c r="P161" s="389">
        <v>0</v>
      </c>
      <c r="Q161" s="389">
        <v>0</v>
      </c>
      <c r="R161" s="389">
        <v>0</v>
      </c>
      <c r="S161" s="389">
        <v>0</v>
      </c>
      <c r="T161" s="389">
        <v>0</v>
      </c>
      <c r="U161" s="389">
        <v>0</v>
      </c>
      <c r="V161" s="389">
        <v>0</v>
      </c>
      <c r="W161" s="389">
        <v>0</v>
      </c>
      <c r="X161" s="389">
        <v>0</v>
      </c>
      <c r="Y161" s="116"/>
    </row>
    <row r="162" spans="1:25" ht="13">
      <c r="A162" s="403" t="s">
        <v>424</v>
      </c>
      <c r="B162" s="531"/>
      <c r="C162" s="389"/>
      <c r="D162" s="389"/>
      <c r="E162" s="389"/>
      <c r="F162" s="389"/>
      <c r="G162" s="389"/>
      <c r="H162" s="389"/>
      <c r="I162" s="389"/>
      <c r="J162" s="389"/>
      <c r="K162" s="389"/>
      <c r="L162" s="389"/>
      <c r="M162" s="116">
        <v>3</v>
      </c>
      <c r="N162" s="116">
        <f>6-3</f>
        <v>3</v>
      </c>
      <c r="O162" s="389">
        <v>0</v>
      </c>
      <c r="P162" s="389">
        <v>0</v>
      </c>
      <c r="Q162" s="116">
        <v>2</v>
      </c>
      <c r="R162" s="116">
        <v>-2</v>
      </c>
      <c r="S162" s="116">
        <v>65</v>
      </c>
      <c r="T162" s="389">
        <v>0</v>
      </c>
      <c r="U162" s="389">
        <v>0</v>
      </c>
      <c r="V162" s="389">
        <v>0</v>
      </c>
      <c r="W162" s="116">
        <v>27</v>
      </c>
      <c r="X162" s="389">
        <v>0</v>
      </c>
      <c r="Y162" s="116"/>
    </row>
    <row r="163" spans="1:25">
      <c r="A163" s="558" t="s">
        <v>266</v>
      </c>
      <c r="B163" s="531"/>
      <c r="C163" s="77">
        <v>345</v>
      </c>
      <c r="D163" s="77">
        <v>314</v>
      </c>
      <c r="E163" s="77">
        <v>131</v>
      </c>
      <c r="F163" s="77">
        <v>1327</v>
      </c>
      <c r="G163" s="77">
        <v>3811</v>
      </c>
      <c r="H163" s="77">
        <v>405</v>
      </c>
      <c r="I163" s="77">
        <v>1352</v>
      </c>
      <c r="J163" s="77">
        <v>3910</v>
      </c>
      <c r="K163" s="506">
        <v>3560</v>
      </c>
      <c r="L163" s="506">
        <v>847</v>
      </c>
      <c r="M163" s="506">
        <f>456+3</f>
        <v>459</v>
      </c>
      <c r="N163" s="506">
        <f>3161-3</f>
        <v>3158</v>
      </c>
      <c r="O163" s="626">
        <v>172</v>
      </c>
      <c r="P163" s="626">
        <v>250</v>
      </c>
      <c r="Q163" s="626">
        <f>3979-17</f>
        <v>3962</v>
      </c>
      <c r="R163" s="626">
        <f>2599-21</f>
        <v>2578</v>
      </c>
      <c r="S163" s="116">
        <v>1616</v>
      </c>
      <c r="T163" s="116">
        <v>970</v>
      </c>
      <c r="U163" s="116">
        <v>667</v>
      </c>
      <c r="V163" s="116">
        <v>1189</v>
      </c>
      <c r="W163" s="116">
        <v>611</v>
      </c>
      <c r="X163" s="116">
        <v>394</v>
      </c>
      <c r="Y163" s="116"/>
    </row>
    <row r="164" spans="1:25" s="393" customFormat="1" ht="13">
      <c r="A164" s="73" t="s">
        <v>391</v>
      </c>
      <c r="B164" s="530"/>
      <c r="C164" s="503">
        <v>-481</v>
      </c>
      <c r="D164" s="503">
        <v>-852</v>
      </c>
      <c r="E164" s="503">
        <v>-1005</v>
      </c>
      <c r="F164" s="503">
        <v>335</v>
      </c>
      <c r="G164" s="503">
        <v>1459</v>
      </c>
      <c r="H164" s="503">
        <v>-1627</v>
      </c>
      <c r="I164" s="503">
        <v>502</v>
      </c>
      <c r="J164" s="503">
        <v>1184</v>
      </c>
      <c r="K164" s="393">
        <v>1685</v>
      </c>
      <c r="L164" s="503">
        <v>-1875</v>
      </c>
      <c r="M164" s="503">
        <v>-928</v>
      </c>
      <c r="N164" s="503">
        <f>1404</f>
        <v>1404</v>
      </c>
      <c r="O164" s="503">
        <f>O163+O158</f>
        <v>-1093</v>
      </c>
      <c r="P164" s="503">
        <f>P163+P158</f>
        <v>-2595</v>
      </c>
      <c r="Q164" s="503">
        <f>2236-17</f>
        <v>2219</v>
      </c>
      <c r="R164" s="503">
        <f>R163+R158</f>
        <v>-2355</v>
      </c>
      <c r="S164" s="503">
        <v>639</v>
      </c>
      <c r="T164" s="503">
        <v>-1305</v>
      </c>
      <c r="U164" s="503">
        <v>165</v>
      </c>
      <c r="V164" s="503">
        <v>-887</v>
      </c>
      <c r="W164" s="503">
        <v>-63</v>
      </c>
      <c r="X164" s="503">
        <v>241</v>
      </c>
      <c r="Y164" s="503"/>
    </row>
    <row r="165" spans="1:25" s="393" customFormat="1" ht="26">
      <c r="A165" s="247" t="s">
        <v>392</v>
      </c>
      <c r="B165" s="532"/>
      <c r="C165" s="503">
        <f>C164+C150+C138</f>
        <v>424</v>
      </c>
      <c r="D165" s="503">
        <f t="shared" ref="D165:J165" si="1">D164+D150+D138</f>
        <v>-814</v>
      </c>
      <c r="E165" s="503">
        <f t="shared" si="1"/>
        <v>-5</v>
      </c>
      <c r="F165" s="503">
        <f t="shared" si="1"/>
        <v>244</v>
      </c>
      <c r="G165" s="503">
        <f t="shared" si="1"/>
        <v>448</v>
      </c>
      <c r="H165" s="503">
        <f t="shared" si="1"/>
        <v>-387</v>
      </c>
      <c r="I165" s="503">
        <f t="shared" si="1"/>
        <v>73</v>
      </c>
      <c r="J165" s="503">
        <f t="shared" si="1"/>
        <v>183</v>
      </c>
      <c r="K165" s="393">
        <v>29</v>
      </c>
      <c r="L165" s="393">
        <v>27</v>
      </c>
      <c r="M165" s="393">
        <v>761</v>
      </c>
      <c r="N165" s="503">
        <v>-709</v>
      </c>
      <c r="O165" s="503">
        <v>31</v>
      </c>
      <c r="P165" s="503">
        <v>-607</v>
      </c>
      <c r="Q165" s="503">
        <v>78</v>
      </c>
      <c r="R165" s="503">
        <v>7</v>
      </c>
      <c r="S165" s="503">
        <v>1035</v>
      </c>
      <c r="T165" s="503">
        <v>-1378</v>
      </c>
      <c r="U165" s="503">
        <v>97</v>
      </c>
      <c r="V165" s="503">
        <v>9</v>
      </c>
      <c r="W165" s="503">
        <v>598</v>
      </c>
      <c r="X165" s="503">
        <v>1739</v>
      </c>
      <c r="Y165" s="503"/>
    </row>
    <row r="166" spans="1:25" ht="13">
      <c r="A166" s="79" t="s">
        <v>407</v>
      </c>
      <c r="B166" s="531"/>
      <c r="C166" s="74">
        <v>1</v>
      </c>
      <c r="D166" s="74">
        <v>-3</v>
      </c>
      <c r="E166" s="109">
        <v>0</v>
      </c>
      <c r="F166" s="116">
        <v>-1</v>
      </c>
      <c r="G166" s="116">
        <v>-3</v>
      </c>
      <c r="H166" s="116">
        <v>4</v>
      </c>
      <c r="I166" s="116">
        <v>14</v>
      </c>
      <c r="J166" s="116">
        <v>-39</v>
      </c>
      <c r="K166" s="109">
        <v>22</v>
      </c>
      <c r="L166" s="109">
        <v>3</v>
      </c>
      <c r="M166" s="109">
        <v>2</v>
      </c>
      <c r="N166" s="109">
        <v>-2</v>
      </c>
      <c r="O166" s="389">
        <v>0</v>
      </c>
      <c r="P166" s="109"/>
      <c r="Q166" s="389">
        <v>0</v>
      </c>
      <c r="R166" s="389">
        <v>0</v>
      </c>
      <c r="S166" s="389">
        <v>0</v>
      </c>
      <c r="T166" s="116">
        <v>-1</v>
      </c>
      <c r="U166" s="116">
        <v>1</v>
      </c>
      <c r="V166" s="116">
        <v>-1</v>
      </c>
      <c r="W166" s="389">
        <v>0</v>
      </c>
      <c r="X166" s="389">
        <v>0</v>
      </c>
      <c r="Y166" s="389"/>
    </row>
    <row r="167" spans="1:25" ht="13">
      <c r="A167" s="558" t="s">
        <v>274</v>
      </c>
      <c r="B167" s="531"/>
      <c r="C167" s="595">
        <f>895-121</f>
        <v>774</v>
      </c>
      <c r="D167" s="116">
        <f>1333-135</f>
        <v>1198</v>
      </c>
      <c r="E167" s="109">
        <f>536-152</f>
        <v>384</v>
      </c>
      <c r="F167" s="109">
        <f>480-101</f>
        <v>379</v>
      </c>
      <c r="G167" s="579">
        <f>791-168</f>
        <v>623</v>
      </c>
      <c r="H167" s="579">
        <f>1253-182</f>
        <v>1071</v>
      </c>
      <c r="I167" s="579">
        <f>846-162</f>
        <v>684</v>
      </c>
      <c r="J167" s="579">
        <f>I168</f>
        <v>757</v>
      </c>
      <c r="K167" s="109">
        <v>940</v>
      </c>
      <c r="L167" s="109">
        <v>969</v>
      </c>
      <c r="M167" s="109">
        <v>996</v>
      </c>
      <c r="N167" s="109">
        <v>1757</v>
      </c>
      <c r="O167" s="109">
        <v>1048</v>
      </c>
      <c r="P167" s="109">
        <v>1079</v>
      </c>
      <c r="Q167" s="109">
        <v>472</v>
      </c>
      <c r="R167" s="109">
        <v>550</v>
      </c>
      <c r="S167" s="116">
        <v>557</v>
      </c>
      <c r="T167" s="116">
        <v>1592</v>
      </c>
      <c r="U167" s="116">
        <v>214</v>
      </c>
      <c r="V167" s="116">
        <v>311</v>
      </c>
      <c r="W167" s="109">
        <v>320</v>
      </c>
      <c r="X167" s="109">
        <v>918</v>
      </c>
    </row>
    <row r="168" spans="1:25" ht="13">
      <c r="A168" s="251" t="s">
        <v>393</v>
      </c>
      <c r="C168" s="74">
        <f>1333-135</f>
        <v>1198</v>
      </c>
      <c r="D168" s="109">
        <f>536-152</f>
        <v>384</v>
      </c>
      <c r="E168" s="109">
        <f>480-101</f>
        <v>379</v>
      </c>
      <c r="F168" s="109">
        <v>623</v>
      </c>
      <c r="G168" s="579">
        <f>1253-182</f>
        <v>1071</v>
      </c>
      <c r="H168" s="579">
        <f>846-162</f>
        <v>684</v>
      </c>
      <c r="I168" s="579">
        <f>936-179</f>
        <v>757</v>
      </c>
      <c r="J168" s="109">
        <v>940</v>
      </c>
      <c r="K168" s="109">
        <v>969</v>
      </c>
      <c r="L168" s="109">
        <v>996</v>
      </c>
      <c r="M168" s="109">
        <v>1757</v>
      </c>
      <c r="N168" s="109">
        <v>1048</v>
      </c>
      <c r="O168" s="109">
        <v>1079</v>
      </c>
      <c r="P168" s="109">
        <v>472</v>
      </c>
      <c r="Q168" s="109">
        <v>550</v>
      </c>
      <c r="R168" s="109">
        <v>557</v>
      </c>
      <c r="S168" s="116">
        <v>1592</v>
      </c>
      <c r="T168" s="116">
        <v>214</v>
      </c>
      <c r="U168" s="116">
        <v>311</v>
      </c>
      <c r="V168" s="116">
        <v>320</v>
      </c>
      <c r="W168" s="109">
        <v>918</v>
      </c>
      <c r="X168" s="109">
        <v>2657</v>
      </c>
    </row>
    <row r="169" spans="1:25" s="394" customFormat="1" ht="13">
      <c r="A169" s="557" t="s">
        <v>408</v>
      </c>
      <c r="B169" s="533"/>
      <c r="C169" s="596">
        <f>330-135</f>
        <v>195</v>
      </c>
      <c r="D169" s="394">
        <f>231-152</f>
        <v>79</v>
      </c>
      <c r="E169" s="394">
        <f>199-101</f>
        <v>98</v>
      </c>
      <c r="F169" s="394">
        <v>146</v>
      </c>
      <c r="G169" s="597">
        <f>301-182</f>
        <v>119</v>
      </c>
      <c r="H169" s="597">
        <f>267-162</f>
        <v>105</v>
      </c>
      <c r="I169" s="597">
        <f>355-179</f>
        <v>176</v>
      </c>
      <c r="J169" s="394">
        <v>322</v>
      </c>
      <c r="K169" s="394">
        <v>581</v>
      </c>
      <c r="L169" s="394">
        <v>290</v>
      </c>
      <c r="M169" s="394">
        <v>183</v>
      </c>
      <c r="N169" s="394">
        <v>372</v>
      </c>
      <c r="O169" s="394">
        <v>246</v>
      </c>
      <c r="P169" s="394">
        <v>184</v>
      </c>
      <c r="Q169" s="394">
        <v>217</v>
      </c>
      <c r="R169" s="394">
        <v>268</v>
      </c>
      <c r="S169" s="394">
        <v>504</v>
      </c>
      <c r="T169" s="394">
        <v>203</v>
      </c>
      <c r="U169" s="394">
        <v>218</v>
      </c>
      <c r="V169" s="394">
        <v>232</v>
      </c>
      <c r="W169" s="394">
        <v>310</v>
      </c>
      <c r="X169" s="394">
        <v>295</v>
      </c>
    </row>
    <row r="170" spans="1:25">
      <c r="H170" s="116"/>
    </row>
    <row r="171" spans="1:25">
      <c r="C171" s="116"/>
      <c r="D171" s="116"/>
      <c r="E171" s="116"/>
      <c r="F171" s="116"/>
      <c r="G171" s="10"/>
      <c r="H171" s="10"/>
      <c r="I171" s="10"/>
      <c r="J171" s="10"/>
      <c r="K171" s="10"/>
      <c r="O171" s="116"/>
      <c r="P171" s="116"/>
      <c r="Q171" s="116"/>
      <c r="R171" s="116"/>
      <c r="S171" s="116"/>
      <c r="T171" s="116"/>
      <c r="U171" s="116"/>
      <c r="V171" s="116"/>
    </row>
    <row r="172" spans="1:25" ht="13">
      <c r="B172" s="534"/>
      <c r="C172" s="116"/>
      <c r="D172" s="116"/>
      <c r="E172" s="116"/>
      <c r="F172" s="116"/>
      <c r="G172" s="116"/>
      <c r="H172" s="116"/>
      <c r="I172" s="116"/>
      <c r="L172" s="109"/>
      <c r="M172" s="109"/>
      <c r="N172" s="109"/>
      <c r="O172" s="109"/>
      <c r="P172" s="109"/>
      <c r="Q172" s="116"/>
      <c r="R172" s="116"/>
      <c r="S172" s="116"/>
      <c r="T172" s="116"/>
      <c r="U172" s="116"/>
    </row>
    <row r="173" spans="1:25" ht="13"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X173" s="116"/>
    </row>
    <row r="174" spans="1:25" ht="13">
      <c r="C174" s="116"/>
      <c r="D174" s="116"/>
      <c r="E174" s="116"/>
      <c r="F174" s="116"/>
      <c r="G174" s="116"/>
      <c r="H174" s="116"/>
      <c r="I174" s="116"/>
      <c r="K174" s="116"/>
      <c r="L174" s="116"/>
      <c r="M174" s="116"/>
      <c r="N174" s="116"/>
      <c r="O174" s="116"/>
      <c r="P174" s="116"/>
      <c r="Q174" s="116"/>
      <c r="R174" s="116"/>
      <c r="X174" s="116"/>
    </row>
    <row r="175" spans="1:25">
      <c r="C175" s="582"/>
      <c r="D175" s="582"/>
      <c r="E175" s="582"/>
      <c r="F175" s="582"/>
      <c r="O175" s="626"/>
      <c r="P175" s="626"/>
      <c r="Q175" s="626"/>
      <c r="R175" s="626"/>
    </row>
    <row r="176" spans="1:25">
      <c r="C176" s="116"/>
      <c r="D176" s="116"/>
      <c r="E176" s="116"/>
      <c r="F176" s="116"/>
      <c r="G176" s="116"/>
      <c r="H176" s="116"/>
      <c r="I176" s="116"/>
      <c r="J176" s="116"/>
    </row>
    <row r="177" spans="6:6">
      <c r="F177" s="582"/>
    </row>
  </sheetData>
  <mergeCells count="2">
    <mergeCell ref="J123:O123"/>
    <mergeCell ref="N124:O124"/>
  </mergeCells>
  <pageMargins left="0.70866141732283472" right="0.70866141732283472" top="0.74803149606299213" bottom="0.74803149606299213" header="0.31496062992125984" footer="0.31496062992125984"/>
  <pageSetup paperSize="8" scale="1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>
    <tabColor theme="8" tint="-0.499984740745262"/>
    <pageSetUpPr fitToPage="1"/>
  </sheetPr>
  <dimension ref="A1:BD175"/>
  <sheetViews>
    <sheetView workbookViewId="0">
      <pane xSplit="2" ySplit="4" topLeftCell="K148" activePane="bottomRight" state="frozen"/>
      <selection pane="topRight" activeCell="C1" sqref="C1"/>
      <selection pane="bottomLeft" activeCell="A5" sqref="A5"/>
      <selection pane="bottomRight" activeCell="M157" sqref="M157"/>
    </sheetView>
  </sheetViews>
  <sheetFormatPr defaultColWidth="12.453125" defaultRowHeight="14.5"/>
  <cols>
    <col min="1" max="1" width="107.81640625" style="71" customWidth="1"/>
    <col min="2" max="2" width="2.453125" style="521" customWidth="1"/>
    <col min="3" max="3" width="15.1796875" style="71" customWidth="1"/>
    <col min="4" max="4" width="17.81640625" style="71" customWidth="1"/>
    <col min="5" max="5" width="17.1796875" style="71" customWidth="1"/>
    <col min="6" max="6" width="18.54296875" style="71" customWidth="1"/>
    <col min="7" max="7" width="17.453125" style="71" customWidth="1"/>
    <col min="8" max="10" width="16.1796875" style="71" customWidth="1"/>
    <col min="11" max="16384" width="12.453125" style="71"/>
  </cols>
  <sheetData>
    <row r="1" spans="1:16" ht="28.4" customHeight="1">
      <c r="A1" s="70" t="s">
        <v>409</v>
      </c>
    </row>
    <row r="2" spans="1:16" ht="15.5">
      <c r="A2" s="88" t="s">
        <v>374</v>
      </c>
      <c r="C2" s="88" t="s">
        <v>657</v>
      </c>
      <c r="D2" s="88"/>
      <c r="E2" s="827"/>
      <c r="F2" s="828"/>
      <c r="G2" s="829"/>
      <c r="H2" s="830"/>
      <c r="I2" s="830"/>
      <c r="J2" s="830"/>
      <c r="K2" s="830"/>
      <c r="L2" s="830"/>
      <c r="M2" s="830"/>
    </row>
    <row r="3" spans="1:16" ht="65">
      <c r="A3" s="569" t="s">
        <v>671</v>
      </c>
      <c r="C3" s="573" t="s">
        <v>631</v>
      </c>
      <c r="D3" s="573" t="s">
        <v>738</v>
      </c>
      <c r="E3" s="573" t="s">
        <v>808</v>
      </c>
      <c r="F3" s="573" t="s">
        <v>737</v>
      </c>
      <c r="G3" s="573" t="s">
        <v>857</v>
      </c>
      <c r="H3" s="573" t="s">
        <v>851</v>
      </c>
      <c r="I3" s="573" t="s">
        <v>856</v>
      </c>
      <c r="J3" s="573" t="s">
        <v>855</v>
      </c>
      <c r="K3" s="573" t="s">
        <v>967</v>
      </c>
      <c r="L3" s="573" t="s">
        <v>966</v>
      </c>
      <c r="M3" s="573" t="s">
        <v>1021</v>
      </c>
    </row>
    <row r="4" spans="1:16">
      <c r="A4" s="79"/>
    </row>
    <row r="5" spans="1:16">
      <c r="A5" s="79" t="s">
        <v>561</v>
      </c>
      <c r="B5" s="522"/>
      <c r="C5" s="104">
        <v>11866</v>
      </c>
      <c r="D5" s="104">
        <v>13298</v>
      </c>
      <c r="E5" s="104">
        <f>18124-423</f>
        <v>17701</v>
      </c>
      <c r="F5" s="104">
        <v>18610</v>
      </c>
      <c r="G5" s="104">
        <f>'Hist. dane kwart. - Q figures'!K5+'Hist. dane kwart. - Q figures'!L5</f>
        <v>22052</v>
      </c>
      <c r="H5" s="104">
        <f>'Hist. dane kwart. - Q figures'!M5+'Hist. dane kwart. - Q figures'!N5</f>
        <v>19925</v>
      </c>
      <c r="I5" s="104">
        <f>'Hist. dane kwart. - Q figures'!O5+'Hist. dane kwart. - Q figures'!P5</f>
        <v>15689</v>
      </c>
      <c r="J5" s="104">
        <f>'Hist. dane kwart. - Q figures'!Q5+'Hist. dane kwart. - Q figures'!R5</f>
        <v>16846</v>
      </c>
      <c r="K5" s="104">
        <v>16643</v>
      </c>
      <c r="L5" s="104">
        <v>16634</v>
      </c>
      <c r="M5" s="104">
        <v>17201</v>
      </c>
      <c r="N5" s="104"/>
      <c r="O5" s="10"/>
      <c r="P5" s="104"/>
    </row>
    <row r="6" spans="1:16">
      <c r="A6" s="250" t="s">
        <v>560</v>
      </c>
      <c r="B6" s="522"/>
      <c r="C6" s="104"/>
      <c r="D6" s="104">
        <v>-9</v>
      </c>
      <c r="E6" s="104"/>
      <c r="F6" s="104">
        <v>484</v>
      </c>
      <c r="G6" s="104">
        <f>'Hist. dane kwart. - Q figures'!K6+'Hist. dane kwart. - Q figures'!L6</f>
        <v>4279</v>
      </c>
      <c r="H6" s="104">
        <f>'Hist. dane kwart. - Q figures'!M6+'Hist. dane kwart. - Q figures'!N6</f>
        <v>3779</v>
      </c>
      <c r="I6" s="104">
        <f>'Hist. dane kwart. - Q figures'!O6+'Hist. dane kwart. - Q figures'!P6</f>
        <v>2116</v>
      </c>
      <c r="J6" s="104">
        <f>'Hist. dane kwart. - Q figures'!Q6+'Hist. dane kwart. - Q figures'!R6</f>
        <v>748</v>
      </c>
      <c r="K6" s="104">
        <v>656</v>
      </c>
      <c r="L6" s="104">
        <v>425</v>
      </c>
      <c r="M6" s="104">
        <v>61</v>
      </c>
      <c r="N6" s="104"/>
      <c r="O6" s="10"/>
      <c r="P6" s="104"/>
    </row>
    <row r="7" spans="1:16">
      <c r="A7" s="86" t="s">
        <v>375</v>
      </c>
      <c r="B7" s="522"/>
      <c r="C7" s="104">
        <v>-10649</v>
      </c>
      <c r="D7" s="104">
        <v>-12279</v>
      </c>
      <c r="E7" s="104">
        <f>-16369+166</f>
        <v>-16203</v>
      </c>
      <c r="F7" s="104">
        <v>-18651</v>
      </c>
      <c r="G7" s="104">
        <f>'Hist. dane kwart. - Q figures'!K7+'Hist. dane kwart. - Q figures'!L7</f>
        <v>-23317</v>
      </c>
      <c r="H7" s="104">
        <f>'Hist. dane kwart. - Q figures'!M7+'Hist. dane kwart. - Q figures'!N7</f>
        <v>-22310</v>
      </c>
      <c r="I7" s="104">
        <f>'Hist. dane kwart. - Q figures'!O7+'Hist. dane kwart. - Q figures'!P7</f>
        <v>-16359</v>
      </c>
      <c r="J7" s="104">
        <f>'Hist. dane kwart. - Q figures'!Q7+'Hist. dane kwart. - Q figures'!R7</f>
        <v>-15072</v>
      </c>
      <c r="K7" s="104">
        <v>-13594</v>
      </c>
      <c r="L7" s="104">
        <v>-14167</v>
      </c>
      <c r="M7" s="104">
        <v>-14184</v>
      </c>
      <c r="N7" s="104"/>
      <c r="O7" s="10"/>
      <c r="P7" s="104"/>
    </row>
    <row r="8" spans="1:16">
      <c r="A8" s="79" t="s">
        <v>672</v>
      </c>
      <c r="B8" s="522"/>
      <c r="C8" s="574">
        <v>1217</v>
      </c>
      <c r="D8" s="104">
        <v>1010</v>
      </c>
      <c r="E8" s="574">
        <f>1755-257</f>
        <v>1498</v>
      </c>
      <c r="F8" s="104">
        <v>443</v>
      </c>
      <c r="G8" s="104">
        <f>'Hist. dane kwart. - Q figures'!K8+'Hist. dane kwart. - Q figures'!L8</f>
        <v>3014</v>
      </c>
      <c r="H8" s="104">
        <f>'Hist. dane kwart. - Q figures'!M8+'Hist. dane kwart. - Q figures'!N8</f>
        <v>1394</v>
      </c>
      <c r="I8" s="104">
        <f>'Hist. dane kwart. - Q figures'!O8+'Hist. dane kwart. - Q figures'!P8</f>
        <v>1446</v>
      </c>
      <c r="J8" s="104">
        <f>'Hist. dane kwart. - Q figures'!Q8+'Hist. dane kwart. - Q figures'!R8</f>
        <v>2522</v>
      </c>
      <c r="K8" s="104">
        <v>3705</v>
      </c>
      <c r="L8" s="104">
        <v>2892</v>
      </c>
      <c r="M8" s="104">
        <v>3078</v>
      </c>
      <c r="N8" s="104"/>
      <c r="O8" s="10"/>
      <c r="P8" s="104"/>
    </row>
    <row r="9" spans="1:16">
      <c r="A9" s="86" t="s">
        <v>376</v>
      </c>
      <c r="B9" s="522"/>
      <c r="C9" s="104">
        <v>-249</v>
      </c>
      <c r="D9" s="104">
        <v>-236</v>
      </c>
      <c r="E9" s="104">
        <f>-312+47</f>
        <v>-265</v>
      </c>
      <c r="F9" s="104">
        <v>-263</v>
      </c>
      <c r="G9" s="104">
        <f>'Hist. dane kwart. - Q figures'!K9+'Hist. dane kwart. - Q figures'!L9</f>
        <v>-359</v>
      </c>
      <c r="H9" s="104">
        <f>'Hist. dane kwart. - Q figures'!M9+'Hist. dane kwart. - Q figures'!N9</f>
        <v>-407</v>
      </c>
      <c r="I9" s="104">
        <f>'Hist. dane kwart. - Q figures'!O9+'Hist. dane kwart. - Q figures'!P9</f>
        <v>-372</v>
      </c>
      <c r="J9" s="104">
        <f>'Hist. dane kwart. - Q figures'!Q9+'Hist. dane kwart. - Q figures'!R9</f>
        <v>-366</v>
      </c>
      <c r="K9" s="104">
        <v>-393</v>
      </c>
      <c r="L9" s="104">
        <v>-416</v>
      </c>
      <c r="M9" s="104">
        <v>-426</v>
      </c>
      <c r="N9" s="104"/>
      <c r="O9" s="10"/>
      <c r="P9" s="104"/>
    </row>
    <row r="10" spans="1:16">
      <c r="A10" s="86" t="s">
        <v>204</v>
      </c>
      <c r="B10" s="522"/>
      <c r="C10" s="104">
        <v>-306</v>
      </c>
      <c r="D10" s="104">
        <v>-184</v>
      </c>
      <c r="E10" s="104">
        <f>-324+65</f>
        <v>-259</v>
      </c>
      <c r="F10" s="104">
        <v>-299</v>
      </c>
      <c r="G10" s="104">
        <f>'Hist. dane kwart. - Q figures'!K10+'Hist. dane kwart. - Q figures'!L10</f>
        <v>-336</v>
      </c>
      <c r="H10" s="104">
        <f>'Hist. dane kwart. - Q figures'!M10+'Hist. dane kwart. - Q figures'!N10</f>
        <v>-365</v>
      </c>
      <c r="I10" s="104">
        <f>'Hist. dane kwart. - Q figures'!O10+'Hist. dane kwart. - Q figures'!P10</f>
        <v>-369</v>
      </c>
      <c r="J10" s="104">
        <f>'Hist. dane kwart. - Q figures'!Q10+'Hist. dane kwart. - Q figures'!R10</f>
        <v>-384</v>
      </c>
      <c r="K10" s="104">
        <v>-367</v>
      </c>
      <c r="L10" s="104">
        <v>-421</v>
      </c>
      <c r="M10" s="104">
        <v>-399</v>
      </c>
      <c r="N10" s="104"/>
      <c r="O10" s="10"/>
      <c r="P10" s="104"/>
    </row>
    <row r="11" spans="1:16">
      <c r="A11" s="86" t="s">
        <v>205</v>
      </c>
      <c r="B11" s="522"/>
      <c r="C11" s="104">
        <v>47</v>
      </c>
      <c r="D11" s="104">
        <v>29</v>
      </c>
      <c r="E11" s="104">
        <v>-2</v>
      </c>
      <c r="F11" s="104">
        <v>88</v>
      </c>
      <c r="G11" s="104">
        <f>'Hist. dane kwart. - Q figures'!K11+'Hist. dane kwart. - Q figures'!L11</f>
        <v>232</v>
      </c>
      <c r="H11" s="104">
        <f>'Hist. dane kwart. - Q figures'!M11+'Hist. dane kwart. - Q figures'!N11</f>
        <v>28</v>
      </c>
      <c r="I11" s="104">
        <f>'Hist. dane kwart. - Q figures'!O11+'Hist. dane kwart. - Q figures'!P11</f>
        <v>44</v>
      </c>
      <c r="J11" s="104">
        <f>'Hist. dane kwart. - Q figures'!Q11+'Hist. dane kwart. - Q figures'!R11</f>
        <v>46</v>
      </c>
      <c r="K11" s="104">
        <v>27</v>
      </c>
      <c r="L11" s="104">
        <v>8</v>
      </c>
      <c r="M11" s="104">
        <v>37</v>
      </c>
      <c r="N11" s="104"/>
      <c r="O11" s="10"/>
      <c r="P11" s="104"/>
    </row>
    <row r="12" spans="1:16">
      <c r="A12" s="86" t="s">
        <v>388</v>
      </c>
      <c r="B12" s="522"/>
      <c r="C12" s="104">
        <v>22</v>
      </c>
      <c r="D12" s="104">
        <v>10</v>
      </c>
      <c r="E12" s="104">
        <v>49</v>
      </c>
      <c r="F12" s="104">
        <v>79</v>
      </c>
      <c r="G12" s="104">
        <f>'Hist. dane kwart. - Q figures'!K12+'Hist. dane kwart. - Q figures'!L12</f>
        <v>63</v>
      </c>
      <c r="H12" s="104">
        <f>'Hist. dane kwart. - Q figures'!M12+'Hist. dane kwart. - Q figures'!N12</f>
        <v>-550</v>
      </c>
      <c r="I12" s="104">
        <f>'Hist. dane kwart. - Q figures'!O12+'Hist. dane kwart. - Q figures'!P12</f>
        <v>15</v>
      </c>
      <c r="J12" s="104">
        <f>'Hist. dane kwart. - Q figures'!Q12+'Hist. dane kwart. - Q figures'!R12</f>
        <v>69</v>
      </c>
      <c r="K12" s="104">
        <v>22</v>
      </c>
      <c r="L12" s="104">
        <v>35</v>
      </c>
      <c r="M12" s="104">
        <v>38</v>
      </c>
      <c r="N12" s="104"/>
      <c r="O12" s="10"/>
      <c r="P12" s="104"/>
    </row>
    <row r="13" spans="1:16">
      <c r="A13" s="79" t="s">
        <v>377</v>
      </c>
      <c r="B13" s="522"/>
      <c r="C13" s="574">
        <v>731</v>
      </c>
      <c r="D13" s="104">
        <v>629</v>
      </c>
      <c r="E13" s="574">
        <f>1166-145</f>
        <v>1021</v>
      </c>
      <c r="F13" s="104">
        <v>48</v>
      </c>
      <c r="G13" s="104">
        <f>'Hist. dane kwart. - Q figures'!K13+'Hist. dane kwart. - Q figures'!L13</f>
        <v>2614</v>
      </c>
      <c r="H13" s="104">
        <f>'Hist. dane kwart. - Q figures'!M13+'Hist. dane kwart. - Q figures'!N13</f>
        <v>100</v>
      </c>
      <c r="I13" s="104">
        <f>'Hist. dane kwart. - Q figures'!O13+'Hist. dane kwart. - Q figures'!P13</f>
        <v>764</v>
      </c>
      <c r="J13" s="104">
        <f>'Hist. dane kwart. - Q figures'!Q13+'Hist. dane kwart. - Q figures'!R13</f>
        <v>1887</v>
      </c>
      <c r="K13" s="104">
        <v>2994</v>
      </c>
      <c r="L13" s="104">
        <v>2098</v>
      </c>
      <c r="M13" s="104">
        <v>2328</v>
      </c>
      <c r="N13" s="104"/>
      <c r="O13" s="10"/>
      <c r="P13" s="104"/>
    </row>
    <row r="14" spans="1:16">
      <c r="A14" s="86" t="s">
        <v>206</v>
      </c>
      <c r="B14" s="522"/>
      <c r="C14" s="104">
        <v>-186</v>
      </c>
      <c r="D14" s="104">
        <v>-179</v>
      </c>
      <c r="E14" s="104">
        <f>-256+1</f>
        <v>-255</v>
      </c>
      <c r="F14" s="104">
        <v>-336</v>
      </c>
      <c r="G14" s="104">
        <f>'Hist. dane kwart. - Q figures'!K14+'Hist. dane kwart. - Q figures'!L14</f>
        <v>-438</v>
      </c>
      <c r="H14" s="104">
        <f>'Hist. dane kwart. - Q figures'!M14+'Hist. dane kwart. - Q figures'!N14</f>
        <v>-359</v>
      </c>
      <c r="I14" s="104">
        <f>'Hist. dane kwart. - Q figures'!O14+'Hist. dane kwart. - Q figures'!P14</f>
        <v>-342</v>
      </c>
      <c r="J14" s="104">
        <f>'Hist. dane kwart. - Q figures'!Q14+'Hist. dane kwart. - Q figures'!R14</f>
        <v>-330</v>
      </c>
      <c r="K14" s="104">
        <v>-341</v>
      </c>
      <c r="L14" s="104">
        <v>-293</v>
      </c>
      <c r="M14" s="104">
        <v>-265</v>
      </c>
      <c r="N14" s="104"/>
      <c r="O14" s="10"/>
      <c r="P14" s="104"/>
    </row>
    <row r="15" spans="1:16">
      <c r="A15" s="86" t="s">
        <v>533</v>
      </c>
      <c r="B15" s="522"/>
      <c r="C15" s="71">
        <v>52</v>
      </c>
      <c r="D15" s="104">
        <v>78</v>
      </c>
      <c r="E15" s="104">
        <f>-48+7</f>
        <v>-41</v>
      </c>
      <c r="F15" s="104">
        <v>-327</v>
      </c>
      <c r="G15" s="104">
        <f>'Hist. dane kwart. - Q figures'!K15+'Hist. dane kwart. - Q figures'!L15</f>
        <v>-221</v>
      </c>
      <c r="H15" s="104">
        <f>'Hist. dane kwart. - Q figures'!M15+'Hist. dane kwart. - Q figures'!N15</f>
        <v>-74</v>
      </c>
      <c r="I15" s="104">
        <f>'Hist. dane kwart. - Q figures'!O15+'Hist. dane kwart. - Q figures'!P15</f>
        <v>-36</v>
      </c>
      <c r="J15" s="104">
        <f>'Hist. dane kwart. - Q figures'!Q15+'Hist. dane kwart. - Q figures'!R15</f>
        <v>-57</v>
      </c>
      <c r="K15" s="104">
        <f>-202+46</f>
        <v>-156</v>
      </c>
      <c r="L15" s="104">
        <v>-49</v>
      </c>
      <c r="M15" s="104">
        <v>42</v>
      </c>
      <c r="N15" s="104"/>
      <c r="O15" s="10"/>
      <c r="P15" s="104"/>
    </row>
    <row r="16" spans="1:16">
      <c r="A16" s="79" t="s">
        <v>779</v>
      </c>
      <c r="B16" s="522"/>
      <c r="C16" s="322">
        <v>597</v>
      </c>
      <c r="D16" s="104">
        <v>528</v>
      </c>
      <c r="E16" s="574">
        <f>862-137</f>
        <v>725</v>
      </c>
      <c r="F16" s="104">
        <v>-615</v>
      </c>
      <c r="G16" s="104">
        <f>'Hist. dane kwart. - Q figures'!K16+'Hist. dane kwart. - Q figures'!L16</f>
        <v>1955</v>
      </c>
      <c r="H16" s="104">
        <f>'Hist. dane kwart. - Q figures'!M16+'Hist. dane kwart. - Q figures'!N16</f>
        <v>-333</v>
      </c>
      <c r="I16" s="104">
        <f>'Hist. dane kwart. - Q figures'!O16+'Hist. dane kwart. - Q figures'!P16</f>
        <v>386</v>
      </c>
      <c r="J16" s="104">
        <f>'Hist. dane kwart. - Q figures'!Q16+'Hist. dane kwart. - Q figures'!R16</f>
        <v>1500</v>
      </c>
      <c r="K16" s="104">
        <v>2497</v>
      </c>
      <c r="L16" s="104">
        <v>1756</v>
      </c>
      <c r="M16" s="104">
        <v>2105</v>
      </c>
      <c r="N16" s="104"/>
      <c r="O16" s="10"/>
      <c r="P16" s="104"/>
    </row>
    <row r="17" spans="1:16">
      <c r="A17" s="86" t="s">
        <v>207</v>
      </c>
      <c r="B17" s="522"/>
      <c r="C17" s="104">
        <v>-215</v>
      </c>
      <c r="D17" s="104">
        <v>-78</v>
      </c>
      <c r="E17" s="104">
        <f>-233-57</f>
        <v>-290</v>
      </c>
      <c r="F17" s="104">
        <v>-29</v>
      </c>
      <c r="G17" s="104">
        <f>'Hist. dane kwart. - Q figures'!K17+'Hist. dane kwart. - Q figures'!L17</f>
        <v>-542</v>
      </c>
      <c r="H17" s="104">
        <f>'Hist. dane kwart. - Q figures'!M17+'Hist. dane kwart. - Q figures'!N17</f>
        <v>48</v>
      </c>
      <c r="I17" s="104">
        <f>'Hist. dane kwart. - Q figures'!O17+'Hist. dane kwart. - Q figures'!P17</f>
        <v>-901</v>
      </c>
      <c r="J17" s="104">
        <f>'Hist. dane kwart. - Q figures'!Q17+'Hist. dane kwart. - Q figures'!R17</f>
        <v>-395</v>
      </c>
      <c r="K17" s="104">
        <v>-442</v>
      </c>
      <c r="L17" s="104">
        <v>-496</v>
      </c>
      <c r="M17" s="104">
        <v>-540</v>
      </c>
      <c r="N17" s="104"/>
      <c r="O17" s="10"/>
      <c r="P17" s="104"/>
    </row>
    <row r="18" spans="1:16">
      <c r="A18" s="86"/>
      <c r="B18" s="522"/>
      <c r="C18" s="104"/>
      <c r="D18" s="104"/>
      <c r="E18" s="104"/>
      <c r="F18" s="104">
        <v>0</v>
      </c>
      <c r="G18" s="104">
        <f>'Hist. dane kwart. - Q figures'!K18+'Hist. dane kwart. - Q figures'!L18</f>
        <v>0</v>
      </c>
      <c r="H18" s="104">
        <f>'Hist. dane kwart. - Q figures'!M18+'Hist. dane kwart. - Q figures'!N18</f>
        <v>0</v>
      </c>
      <c r="I18" s="104">
        <f>'Hist. dane kwart. - Q figures'!O18+'Hist. dane kwart. - Q figures'!P18</f>
        <v>0</v>
      </c>
      <c r="J18" s="104">
        <f>'Hist. dane kwart. - Q figures'!Q18+'Hist. dane kwart. - Q figures'!R18</f>
        <v>0</v>
      </c>
      <c r="K18" s="104"/>
      <c r="L18" s="104"/>
      <c r="M18" s="104"/>
      <c r="O18" s="10"/>
    </row>
    <row r="19" spans="1:16">
      <c r="A19" s="570" t="s">
        <v>729</v>
      </c>
      <c r="B19" s="522"/>
      <c r="C19" s="104"/>
      <c r="D19" s="589">
        <v>832</v>
      </c>
      <c r="E19" s="589">
        <v>435</v>
      </c>
      <c r="F19" s="589">
        <v>-644</v>
      </c>
      <c r="G19" s="589">
        <f>'Hist. dane kwart. - Q figures'!K19+'Hist. dane kwart. - Q figures'!L19</f>
        <v>1413</v>
      </c>
      <c r="H19" s="589">
        <f>'Hist. dane kwart. - Q figures'!M19+'Hist. dane kwart. - Q figures'!N19</f>
        <v>-285</v>
      </c>
      <c r="I19" s="589">
        <f>'Hist. dane kwart. - Q figures'!O19+'Hist. dane kwart. - Q figures'!P19</f>
        <v>0</v>
      </c>
      <c r="J19" s="589">
        <f>'Hist. dane kwart. - Q figures'!Q19+'Hist. dane kwart. - Q figures'!R19</f>
        <v>0</v>
      </c>
      <c r="K19" s="589"/>
      <c r="L19" s="104"/>
      <c r="M19" s="104"/>
      <c r="O19" s="10"/>
    </row>
    <row r="20" spans="1:16">
      <c r="A20" s="79"/>
      <c r="B20" s="522"/>
      <c r="C20" s="104"/>
      <c r="D20" s="589"/>
      <c r="E20" s="590"/>
      <c r="F20" s="590">
        <v>0</v>
      </c>
      <c r="G20" s="590"/>
      <c r="H20" s="590">
        <f>'Hist. dane kwart. - Q figures'!M20+'Hist. dane kwart. - Q figures'!N20</f>
        <v>0</v>
      </c>
      <c r="I20" s="590">
        <f>'Hist. dane kwart. - Q figures'!O20+'Hist. dane kwart. - Q figures'!P20</f>
        <v>0</v>
      </c>
      <c r="J20" s="590">
        <f>'Hist. dane kwart. - Q figures'!Q20+'Hist. dane kwart. - Q figures'!R20</f>
        <v>0</v>
      </c>
      <c r="K20" s="590"/>
      <c r="L20" s="590"/>
      <c r="M20" s="590"/>
      <c r="O20" s="10"/>
    </row>
    <row r="21" spans="1:16">
      <c r="A21" s="570" t="s">
        <v>730</v>
      </c>
      <c r="B21" s="522"/>
      <c r="C21" s="104"/>
      <c r="D21" s="589">
        <v>-447</v>
      </c>
      <c r="E21" s="590">
        <v>194</v>
      </c>
      <c r="F21" s="590">
        <v>-119</v>
      </c>
      <c r="G21" s="590">
        <v>0</v>
      </c>
      <c r="H21" s="590">
        <f>'Hist. dane kwart. - Q figures'!M21+'Hist. dane kwart. - Q figures'!N21</f>
        <v>0</v>
      </c>
      <c r="I21" s="590">
        <f>'Hist. dane kwart. - Q figures'!O21+'Hist. dane kwart. - Q figures'!P21</f>
        <v>0</v>
      </c>
      <c r="J21" s="590">
        <f>'Hist. dane kwart. - Q figures'!Q21+'Hist. dane kwart. - Q figures'!R21</f>
        <v>0</v>
      </c>
      <c r="K21" s="590"/>
      <c r="L21" s="590"/>
      <c r="M21" s="590"/>
      <c r="O21" s="10"/>
    </row>
    <row r="22" spans="1:16">
      <c r="A22" s="86"/>
      <c r="B22" s="522"/>
      <c r="C22" s="104"/>
      <c r="D22" s="589"/>
      <c r="E22" s="590"/>
      <c r="F22" s="590">
        <v>0</v>
      </c>
      <c r="G22" s="590"/>
      <c r="H22" s="590">
        <f>'Hist. dane kwart. - Q figures'!M22+'Hist. dane kwart. - Q figures'!N22</f>
        <v>0</v>
      </c>
      <c r="I22" s="590">
        <f>'Hist. dane kwart. - Q figures'!O22+'Hist. dane kwart. - Q figures'!P22</f>
        <v>0</v>
      </c>
      <c r="J22" s="590">
        <f>'Hist. dane kwart. - Q figures'!Q22+'Hist. dane kwart. - Q figures'!R22</f>
        <v>0</v>
      </c>
      <c r="K22" s="590"/>
      <c r="L22" s="590"/>
      <c r="M22" s="590"/>
      <c r="O22" s="10"/>
    </row>
    <row r="23" spans="1:16">
      <c r="A23" s="570" t="s">
        <v>674</v>
      </c>
      <c r="B23" s="522"/>
      <c r="C23" s="575">
        <v>382</v>
      </c>
      <c r="D23" s="589">
        <v>3</v>
      </c>
      <c r="E23" s="591">
        <v>629</v>
      </c>
      <c r="F23" s="591">
        <v>-763</v>
      </c>
      <c r="G23" s="591">
        <f>'Hist. dane kwart. - Q figures'!K23+'Hist. dane kwart. - Q figures'!L23</f>
        <v>1413</v>
      </c>
      <c r="H23" s="591">
        <f>'Hist. dane kwart. - Q figures'!M23+'Hist. dane kwart. - Q figures'!N23</f>
        <v>-285</v>
      </c>
      <c r="I23" s="591">
        <f>'Hist. dane kwart. - Q figures'!O23+'Hist. dane kwart. - Q figures'!P23</f>
        <v>-515</v>
      </c>
      <c r="J23" s="591">
        <f>'Hist. dane kwart. - Q figures'!Q23+'Hist. dane kwart. - Q figures'!R23</f>
        <v>1105</v>
      </c>
      <c r="K23" s="591">
        <v>2055</v>
      </c>
      <c r="L23" s="591">
        <v>1260</v>
      </c>
      <c r="M23" s="591">
        <v>1565</v>
      </c>
      <c r="N23" s="104"/>
      <c r="O23" s="10"/>
      <c r="P23" s="104"/>
    </row>
    <row r="24" spans="1:16">
      <c r="A24" s="95"/>
      <c r="B24" s="522"/>
      <c r="D24" s="104"/>
      <c r="F24" s="104">
        <v>0</v>
      </c>
      <c r="K24" s="104"/>
      <c r="L24" s="104"/>
      <c r="M24" s="104"/>
      <c r="N24" s="104"/>
      <c r="O24" s="10"/>
      <c r="P24" s="104"/>
    </row>
    <row r="25" spans="1:16">
      <c r="A25" s="86" t="s">
        <v>208</v>
      </c>
      <c r="B25" s="522"/>
      <c r="C25" s="104">
        <v>132</v>
      </c>
      <c r="D25" s="104">
        <v>323</v>
      </c>
      <c r="E25" s="104">
        <v>332</v>
      </c>
      <c r="F25" s="104">
        <v>-145</v>
      </c>
      <c r="G25" s="104">
        <f>'Hist. dane kwart. - Q figures'!K25+'Hist. dane kwart. - Q figures'!L25</f>
        <v>-174</v>
      </c>
      <c r="H25" s="104">
        <f>'Hist. dane kwart. - Q figures'!M25+'Hist. dane kwart. - Q figures'!N25</f>
        <v>-113</v>
      </c>
      <c r="I25" s="104">
        <f>'Hist. dane kwart. - Q figures'!O25+'Hist. dane kwart. - Q figures'!P25</f>
        <v>-33</v>
      </c>
      <c r="J25" s="104">
        <f>'Hist. dane kwart. - Q figures'!Q25+'Hist. dane kwart. - Q figures'!R25</f>
        <v>-64</v>
      </c>
      <c r="K25" s="104">
        <v>-69</v>
      </c>
      <c r="L25" s="104">
        <v>-157</v>
      </c>
      <c r="M25" s="104">
        <v>26</v>
      </c>
      <c r="N25" s="104"/>
      <c r="O25" s="10"/>
      <c r="P25" s="104"/>
    </row>
    <row r="26" spans="1:16">
      <c r="A26" s="86" t="s">
        <v>209</v>
      </c>
      <c r="B26" s="522"/>
      <c r="C26" s="104">
        <v>3</v>
      </c>
      <c r="D26" s="104">
        <v>13</v>
      </c>
      <c r="E26" s="104">
        <v>7</v>
      </c>
      <c r="F26" s="104">
        <v>10</v>
      </c>
      <c r="G26" s="104">
        <f>'Hist. dane kwart. - Q figures'!K26+'Hist. dane kwart. - Q figures'!L26</f>
        <v>-11</v>
      </c>
      <c r="H26" s="104">
        <f>'Hist. dane kwart. - Q figures'!M26+'Hist. dane kwart. - Q figures'!N26</f>
        <v>13</v>
      </c>
      <c r="I26" s="104">
        <f>'Hist. dane kwart. - Q figures'!O26+'Hist. dane kwart. - Q figures'!P26</f>
        <v>3</v>
      </c>
      <c r="J26" s="104">
        <f>'Hist. dane kwart. - Q figures'!Q26+'Hist. dane kwart. - Q figures'!R26</f>
        <v>-68</v>
      </c>
      <c r="K26" s="104">
        <v>0</v>
      </c>
      <c r="L26" s="104">
        <v>1</v>
      </c>
      <c r="M26" s="104">
        <v>1</v>
      </c>
      <c r="N26" s="104"/>
      <c r="O26" s="10"/>
      <c r="P26" s="104"/>
    </row>
    <row r="27" spans="1:16">
      <c r="A27" s="260" t="s">
        <v>210</v>
      </c>
      <c r="B27" s="522"/>
      <c r="C27" s="104">
        <v>-25</v>
      </c>
      <c r="D27" s="104">
        <v>-63</v>
      </c>
      <c r="E27" s="104">
        <v>-63</v>
      </c>
      <c r="F27" s="104">
        <v>27</v>
      </c>
      <c r="G27" s="104">
        <f>'Hist. dane kwart. - Q figures'!K27+'Hist. dane kwart. - Q figures'!L27</f>
        <v>33</v>
      </c>
      <c r="H27" s="104">
        <f>'Hist. dane kwart. - Q figures'!M27+'Hist. dane kwart. - Q figures'!N27</f>
        <v>22</v>
      </c>
      <c r="I27" s="104">
        <f>'Hist. dane kwart. - Q figures'!O27+'Hist. dane kwart. - Q figures'!P27</f>
        <v>6</v>
      </c>
      <c r="J27" s="104">
        <f>'Hist. dane kwart. - Q figures'!Q27+'Hist. dane kwart. - Q figures'!R27</f>
        <v>12</v>
      </c>
      <c r="K27" s="104">
        <v>13</v>
      </c>
      <c r="L27" s="104">
        <v>31</v>
      </c>
      <c r="M27" s="104">
        <v>-5</v>
      </c>
      <c r="N27" s="104"/>
      <c r="O27" s="10"/>
      <c r="P27" s="104"/>
    </row>
    <row r="28" spans="1:16" ht="26.5">
      <c r="A28" s="571" t="s">
        <v>675</v>
      </c>
      <c r="B28" s="522"/>
      <c r="C28" s="574">
        <v>110</v>
      </c>
      <c r="D28" s="104">
        <v>273</v>
      </c>
      <c r="E28" s="104">
        <v>276</v>
      </c>
      <c r="F28" s="104">
        <v>-108</v>
      </c>
      <c r="G28" s="104">
        <f>'Hist. dane kwart. - Q figures'!K28+'Hist. dane kwart. - Q figures'!L28</f>
        <v>-152</v>
      </c>
      <c r="H28" s="104">
        <f>'Hist. dane kwart. - Q figures'!M28+'Hist. dane kwart. - Q figures'!N28</f>
        <v>-78</v>
      </c>
      <c r="I28" s="104">
        <f>'Hist. dane kwart. - Q figures'!O28+'Hist. dane kwart. - Q figures'!P28</f>
        <v>-24</v>
      </c>
      <c r="J28" s="104">
        <f>'Hist. dane kwart. - Q figures'!Q28+'Hist. dane kwart. - Q figures'!R28</f>
        <v>-120</v>
      </c>
      <c r="K28" s="104">
        <v>-56</v>
      </c>
      <c r="L28" s="104">
        <v>-125</v>
      </c>
      <c r="M28" s="104">
        <v>22</v>
      </c>
      <c r="N28" s="104"/>
      <c r="O28" s="10"/>
      <c r="P28" s="104"/>
    </row>
    <row r="29" spans="1:16">
      <c r="A29" s="260" t="s">
        <v>676</v>
      </c>
      <c r="B29" s="522"/>
      <c r="C29" s="104">
        <v>45</v>
      </c>
      <c r="D29" s="104">
        <v>59</v>
      </c>
      <c r="E29" s="104">
        <f>93-14</f>
        <v>79</v>
      </c>
      <c r="F29" s="104">
        <v>-11</v>
      </c>
      <c r="G29" s="104">
        <f>'Hist. dane kwart. - Q figures'!K29+'Hist. dane kwart. - Q figures'!L29</f>
        <v>-16</v>
      </c>
      <c r="H29" s="104">
        <f>'Hist. dane kwart. - Q figures'!M29+'Hist. dane kwart. - Q figures'!N29</f>
        <v>-117</v>
      </c>
      <c r="I29" s="104">
        <f>'Hist. dane kwart. - Q figures'!O29+'Hist. dane kwart. - Q figures'!P29</f>
        <v>37</v>
      </c>
      <c r="J29" s="104">
        <f>'Hist. dane kwart. - Q figures'!Q29+'Hist. dane kwart. - Q figures'!R29</f>
        <v>-97</v>
      </c>
      <c r="K29" s="104">
        <v>17</v>
      </c>
      <c r="L29" s="104">
        <v>-99</v>
      </c>
      <c r="M29" s="104">
        <v>20</v>
      </c>
      <c r="N29" s="104"/>
      <c r="O29" s="10"/>
      <c r="P29" s="104"/>
    </row>
    <row r="30" spans="1:16">
      <c r="A30" s="260" t="s">
        <v>210</v>
      </c>
      <c r="B30" s="522"/>
      <c r="C30" s="104">
        <v>-8</v>
      </c>
      <c r="D30" s="104">
        <v>-10</v>
      </c>
      <c r="E30" s="104">
        <f>-18+3</f>
        <v>-15</v>
      </c>
      <c r="F30" s="104">
        <v>3</v>
      </c>
      <c r="G30" s="104">
        <f>'Hist. dane kwart. - Q figures'!K30+'Hist. dane kwart. - Q figures'!L30</f>
        <v>3</v>
      </c>
      <c r="H30" s="104">
        <f>'Hist. dane kwart. - Q figures'!M30+'Hist. dane kwart. - Q figures'!N30</f>
        <v>22</v>
      </c>
      <c r="I30" s="104">
        <f>'Hist. dane kwart. - Q figures'!O30+'Hist. dane kwart. - Q figures'!P30</f>
        <v>-7</v>
      </c>
      <c r="J30" s="104">
        <f>'Hist. dane kwart. - Q figures'!Q30+'Hist. dane kwart. - Q figures'!R30</f>
        <v>19</v>
      </c>
      <c r="K30" s="104">
        <v>-3</v>
      </c>
      <c r="L30" s="104">
        <v>19</v>
      </c>
      <c r="M30" s="104">
        <v>-4</v>
      </c>
      <c r="N30" s="104"/>
      <c r="O30" s="10"/>
      <c r="P30" s="104"/>
    </row>
    <row r="31" spans="1:16">
      <c r="A31" s="627" t="s">
        <v>804</v>
      </c>
      <c r="B31" s="522"/>
      <c r="C31" s="104"/>
      <c r="D31" s="104"/>
      <c r="E31" s="104"/>
      <c r="F31" s="104">
        <v>0</v>
      </c>
      <c r="G31" s="104"/>
      <c r="H31" s="104">
        <f>'Hist. dane kwart. - Q figures'!M31+'Hist. dane kwart. - Q figures'!N31</f>
        <v>-1</v>
      </c>
      <c r="I31" s="104">
        <f>'Hist. dane kwart. - Q figures'!O31+'Hist. dane kwart. - Q figures'!P31</f>
        <v>0</v>
      </c>
      <c r="J31" s="104">
        <f>'Hist. dane kwart. - Q figures'!Q31+'Hist. dane kwart. - Q figures'!R31</f>
        <v>0</v>
      </c>
      <c r="K31" s="104">
        <v>0</v>
      </c>
      <c r="L31" s="104">
        <v>0</v>
      </c>
      <c r="M31" s="104">
        <v>0</v>
      </c>
      <c r="N31" s="104"/>
      <c r="O31" s="10"/>
      <c r="P31" s="104"/>
    </row>
    <row r="32" spans="1:16" ht="26.5">
      <c r="A32" s="571" t="s">
        <v>621</v>
      </c>
      <c r="B32" s="522"/>
      <c r="C32" s="104">
        <v>37</v>
      </c>
      <c r="D32" s="104">
        <v>49</v>
      </c>
      <c r="E32" s="104">
        <f>75-11</f>
        <v>64</v>
      </c>
      <c r="F32" s="104">
        <v>-8</v>
      </c>
      <c r="G32" s="104">
        <f>'Hist. dane kwart. - Q figures'!K32+'Hist. dane kwart. - Q figures'!L32</f>
        <v>-13</v>
      </c>
      <c r="H32" s="104">
        <f>'Hist. dane kwart. - Q figures'!M32+'Hist. dane kwart. - Q figures'!N32</f>
        <v>-96</v>
      </c>
      <c r="I32" s="104">
        <f>'Hist. dane kwart. - Q figures'!O32+'Hist. dane kwart. - Q figures'!P32</f>
        <v>30</v>
      </c>
      <c r="J32" s="104">
        <f>'Hist. dane kwart. - Q figures'!Q32+'Hist. dane kwart. - Q figures'!R32</f>
        <v>-78</v>
      </c>
      <c r="K32" s="104">
        <v>14</v>
      </c>
      <c r="L32" s="104">
        <v>-80</v>
      </c>
      <c r="M32" s="104">
        <v>16</v>
      </c>
      <c r="N32" s="104"/>
      <c r="O32" s="10"/>
      <c r="P32" s="104"/>
    </row>
    <row r="33" spans="1:16">
      <c r="A33" s="571"/>
      <c r="B33" s="522"/>
      <c r="C33" s="104"/>
      <c r="D33" s="104"/>
      <c r="E33" s="104"/>
      <c r="F33" s="104">
        <v>0</v>
      </c>
      <c r="G33" s="104"/>
      <c r="H33" s="104"/>
      <c r="I33" s="104"/>
      <c r="J33" s="104"/>
      <c r="K33" s="104"/>
      <c r="L33" s="104"/>
      <c r="M33" s="104"/>
      <c r="N33" s="104"/>
      <c r="O33" s="10"/>
      <c r="P33" s="104"/>
    </row>
    <row r="34" spans="1:16">
      <c r="A34" s="571" t="s">
        <v>731</v>
      </c>
      <c r="B34" s="522"/>
      <c r="C34" s="104"/>
      <c r="D34" s="104">
        <v>11</v>
      </c>
      <c r="E34" s="104">
        <v>11</v>
      </c>
      <c r="F34" s="104">
        <v>7</v>
      </c>
      <c r="G34" s="104"/>
      <c r="H34" s="104"/>
      <c r="I34" s="104"/>
      <c r="J34" s="104"/>
      <c r="K34" s="104"/>
      <c r="L34" s="104"/>
      <c r="M34" s="104"/>
      <c r="N34" s="104"/>
      <c r="O34" s="10"/>
      <c r="P34" s="104"/>
    </row>
    <row r="35" spans="1:16">
      <c r="A35" s="250"/>
      <c r="B35" s="522"/>
      <c r="C35" s="104"/>
      <c r="D35" s="104"/>
      <c r="F35" s="104"/>
      <c r="G35" s="104"/>
      <c r="H35" s="104"/>
      <c r="I35" s="104"/>
      <c r="J35" s="104"/>
      <c r="K35" s="104"/>
      <c r="L35" s="104"/>
      <c r="M35" s="104"/>
      <c r="N35" s="104"/>
      <c r="O35" s="10"/>
      <c r="P35" s="104"/>
    </row>
    <row r="36" spans="1:16">
      <c r="A36" s="558" t="s">
        <v>211</v>
      </c>
      <c r="B36" s="522"/>
      <c r="C36" s="104">
        <v>147</v>
      </c>
      <c r="D36" s="104">
        <v>333</v>
      </c>
      <c r="E36" s="71">
        <v>351</v>
      </c>
      <c r="F36" s="104">
        <v>-109</v>
      </c>
      <c r="G36" s="104">
        <f>'Hist. dane kwart. - Q figures'!K36+'Hist. dane kwart. - Q figures'!L36</f>
        <v>-165</v>
      </c>
      <c r="H36" s="104">
        <f>'Hist. dane kwart. - Q figures'!M36+'Hist. dane kwart. - Q figures'!N36</f>
        <v>-174</v>
      </c>
      <c r="I36" s="104">
        <f>'Hist. dane kwart. - Q figures'!O36+'Hist. dane kwart. - Q figures'!P36</f>
        <v>6</v>
      </c>
      <c r="J36" s="104">
        <f>'Hist. dane kwart. - Q figures'!Q36+'Hist. dane kwart. - Q figures'!R36</f>
        <v>-198</v>
      </c>
      <c r="K36" s="104">
        <v>-42</v>
      </c>
      <c r="L36" s="104">
        <v>-205</v>
      </c>
      <c r="M36" s="104">
        <v>38</v>
      </c>
      <c r="N36" s="104"/>
      <c r="O36" s="10"/>
      <c r="P36" s="104"/>
    </row>
    <row r="37" spans="1:16">
      <c r="A37" s="558" t="s">
        <v>677</v>
      </c>
      <c r="B37" s="522"/>
      <c r="C37" s="574">
        <v>529</v>
      </c>
      <c r="D37" s="574">
        <v>336</v>
      </c>
      <c r="E37" s="71">
        <v>980</v>
      </c>
      <c r="F37" s="104">
        <v>-872</v>
      </c>
      <c r="G37" s="104">
        <f>'Hist. dane kwart. - Q figures'!K37+'Hist. dane kwart. - Q figures'!L37</f>
        <v>1248</v>
      </c>
      <c r="H37" s="104">
        <f>'Hist. dane kwart. - Q figures'!M37+'Hist. dane kwart. - Q figures'!N37</f>
        <v>-459</v>
      </c>
      <c r="I37" s="104">
        <f>'Hist. dane kwart. - Q figures'!O37+'Hist. dane kwart. - Q figures'!P37</f>
        <v>-509</v>
      </c>
      <c r="J37" s="104">
        <f>'Hist. dane kwart. - Q figures'!Q37+'Hist. dane kwart. - Q figures'!R37</f>
        <v>907</v>
      </c>
      <c r="K37" s="104">
        <v>2013</v>
      </c>
      <c r="L37" s="104">
        <v>1055</v>
      </c>
      <c r="M37" s="104">
        <v>1603</v>
      </c>
      <c r="N37" s="104"/>
      <c r="O37" s="10"/>
      <c r="P37" s="104"/>
    </row>
    <row r="38" spans="1:16">
      <c r="A38" s="79" t="s">
        <v>378</v>
      </c>
      <c r="B38" s="522"/>
      <c r="D38" s="104"/>
      <c r="F38" s="104"/>
      <c r="G38" s="104">
        <f>'Hist. dane kwart. - Q figures'!K38+'Hist. dane kwart. - Q figures'!L38</f>
        <v>0</v>
      </c>
      <c r="H38" s="104"/>
      <c r="I38" s="104"/>
      <c r="J38" s="104"/>
      <c r="K38" s="104"/>
      <c r="L38" s="104">
        <v>0</v>
      </c>
      <c r="M38" s="104">
        <v>0</v>
      </c>
      <c r="N38" s="104"/>
      <c r="O38" s="10"/>
      <c r="P38" s="104"/>
    </row>
    <row r="39" spans="1:16">
      <c r="A39" s="86" t="s">
        <v>379</v>
      </c>
      <c r="B39" s="522"/>
      <c r="C39" s="104">
        <v>356</v>
      </c>
      <c r="D39" s="104">
        <v>-18</v>
      </c>
      <c r="E39" s="71">
        <v>627</v>
      </c>
      <c r="F39" s="104">
        <v>-761</v>
      </c>
      <c r="G39" s="104">
        <f>'Hist. dane kwart. - Q figures'!K39+'Hist. dane kwart. - Q figures'!L39</f>
        <v>1410</v>
      </c>
      <c r="H39" s="104">
        <f>'Hist. dane kwart. - Q figures'!M39+'Hist. dane kwart. - Q figures'!N39</f>
        <v>-287</v>
      </c>
      <c r="I39" s="104">
        <f>'Hist. dane kwart. - Q figures'!O39+'Hist. dane kwart. - Q figures'!P39</f>
        <v>-517</v>
      </c>
      <c r="J39" s="104">
        <f>'Hist. dane kwart. - Q figures'!Q39+'Hist. dane kwart. - Q figures'!R39</f>
        <v>1102</v>
      </c>
      <c r="K39" s="104">
        <v>2053</v>
      </c>
      <c r="L39" s="104">
        <v>1260</v>
      </c>
      <c r="M39" s="104">
        <v>1565</v>
      </c>
      <c r="N39" s="104"/>
      <c r="O39" s="10"/>
      <c r="P39" s="104"/>
    </row>
    <row r="40" spans="1:16">
      <c r="A40" s="86" t="s">
        <v>380</v>
      </c>
      <c r="B40" s="522"/>
      <c r="C40" s="104">
        <v>26</v>
      </c>
      <c r="D40" s="104">
        <v>21</v>
      </c>
      <c r="E40" s="71">
        <v>2</v>
      </c>
      <c r="F40" s="104">
        <v>-2</v>
      </c>
      <c r="G40" s="104">
        <f>'Hist. dane kwart. - Q figures'!K40+'Hist. dane kwart. - Q figures'!L40</f>
        <v>3</v>
      </c>
      <c r="H40" s="104">
        <f>'Hist. dane kwart. - Q figures'!M40+'Hist. dane kwart. - Q figures'!N40</f>
        <v>2</v>
      </c>
      <c r="I40" s="104">
        <f>'Hist. dane kwart. - Q figures'!O40+'Hist. dane kwart. - Q figures'!P40</f>
        <v>2</v>
      </c>
      <c r="J40" s="104">
        <f>'Hist. dane kwart. - Q figures'!Q40+'Hist. dane kwart. - Q figures'!R40</f>
        <v>3</v>
      </c>
      <c r="K40" s="104">
        <v>2</v>
      </c>
      <c r="L40" s="104">
        <v>0</v>
      </c>
      <c r="M40" s="104">
        <v>0</v>
      </c>
      <c r="N40" s="104"/>
      <c r="O40" s="10"/>
      <c r="P40" s="104"/>
    </row>
    <row r="41" spans="1:16">
      <c r="A41" s="79" t="s">
        <v>215</v>
      </c>
      <c r="B41" s="522"/>
      <c r="C41" s="104"/>
      <c r="D41" s="104"/>
      <c r="F41" s="104">
        <v>0</v>
      </c>
      <c r="G41" s="104">
        <f>'Hist. dane kwart. - Q figures'!K41+'Hist. dane kwart. - Q figures'!L41</f>
        <v>0</v>
      </c>
      <c r="H41" s="104"/>
      <c r="I41" s="104"/>
      <c r="J41" s="104"/>
      <c r="K41" s="104"/>
      <c r="L41" s="104"/>
      <c r="M41" s="104"/>
      <c r="N41" s="104"/>
      <c r="O41" s="10"/>
      <c r="P41" s="104"/>
    </row>
    <row r="42" spans="1:16">
      <c r="A42" s="86" t="s">
        <v>379</v>
      </c>
      <c r="B42" s="522"/>
      <c r="C42" s="104">
        <v>503</v>
      </c>
      <c r="D42" s="104">
        <v>315</v>
      </c>
      <c r="E42" s="71">
        <v>978</v>
      </c>
      <c r="F42" s="104">
        <v>-870</v>
      </c>
      <c r="G42" s="104">
        <f>'Hist. dane kwart. - Q figures'!K42+'Hist. dane kwart. - Q figures'!L42</f>
        <v>1245</v>
      </c>
      <c r="H42" s="104">
        <f>'Hist. dane kwart. - Q figures'!M42+'Hist. dane kwart. - Q figures'!N42</f>
        <v>-461</v>
      </c>
      <c r="I42" s="104">
        <f>'Hist. dane kwart. - Q figures'!O42+'Hist. dane kwart. - Q figures'!P42</f>
        <v>-511</v>
      </c>
      <c r="J42" s="104">
        <f>'Hist. dane kwart. - Q figures'!Q42+'Hist. dane kwart. - Q figures'!R42</f>
        <v>904</v>
      </c>
      <c r="K42" s="104">
        <v>2011</v>
      </c>
      <c r="L42" s="104">
        <v>1055</v>
      </c>
      <c r="M42" s="104">
        <v>1603</v>
      </c>
      <c r="N42" s="104"/>
      <c r="O42" s="10"/>
      <c r="P42" s="104"/>
    </row>
    <row r="43" spans="1:16">
      <c r="A43" s="265" t="s">
        <v>380</v>
      </c>
      <c r="B43" s="522"/>
      <c r="C43" s="104">
        <v>26</v>
      </c>
      <c r="D43" s="104">
        <v>21</v>
      </c>
      <c r="E43" s="71">
        <v>2</v>
      </c>
      <c r="F43" s="104">
        <v>-2</v>
      </c>
      <c r="G43" s="104">
        <f>'Hist. dane kwart. - Q figures'!K43+'Hist. dane kwart. - Q figures'!L43</f>
        <v>3</v>
      </c>
      <c r="H43" s="104">
        <f>'Hist. dane kwart. - Q figures'!M43+'Hist. dane kwart. - Q figures'!N43</f>
        <v>2</v>
      </c>
      <c r="I43" s="104">
        <f>'Hist. dane kwart. - Q figures'!O43+'Hist. dane kwart. - Q figures'!P43</f>
        <v>2</v>
      </c>
      <c r="J43" s="104">
        <f>'Hist. dane kwart. - Q figures'!Q43+'Hist. dane kwart. - Q figures'!R43</f>
        <v>3</v>
      </c>
      <c r="K43" s="104">
        <v>2</v>
      </c>
      <c r="L43" s="104">
        <v>0</v>
      </c>
      <c r="M43" s="104">
        <v>0</v>
      </c>
      <c r="N43" s="104"/>
      <c r="O43" s="10"/>
      <c r="P43" s="104"/>
    </row>
    <row r="44" spans="1:16">
      <c r="A44" s="79"/>
      <c r="B44" s="522"/>
      <c r="C44" s="107"/>
      <c r="D44" s="107"/>
      <c r="E44" s="107"/>
      <c r="F44" s="107">
        <v>0</v>
      </c>
      <c r="G44" s="107"/>
      <c r="H44" s="107"/>
      <c r="I44" s="107"/>
      <c r="J44" s="107"/>
      <c r="K44" s="107"/>
      <c r="L44" s="107"/>
      <c r="M44" s="107"/>
      <c r="N44" s="104"/>
      <c r="O44" s="10"/>
      <c r="P44" s="104"/>
    </row>
    <row r="45" spans="1:16">
      <c r="A45" s="570" t="s">
        <v>679</v>
      </c>
      <c r="B45" s="523"/>
      <c r="C45" s="108">
        <v>0.2</v>
      </c>
      <c r="D45" s="108">
        <v>-1.0000000000000009E-2</v>
      </c>
      <c r="E45" s="108">
        <v>0.35776452415354865</v>
      </c>
      <c r="F45" s="108">
        <v>-0.43422456599816672</v>
      </c>
      <c r="G45" s="108">
        <f>'Hist. dane kwart. - Q figures'!K45+'Hist. dane kwart. - Q figures'!L45</f>
        <v>0.8</v>
      </c>
      <c r="H45" s="108">
        <f>'Hist. dane kwart. - Q figures'!M45+'Hist. dane kwart. - Q figures'!N45</f>
        <v>-0.16</v>
      </c>
      <c r="I45" s="108">
        <v>-0.28999999999999998</v>
      </c>
      <c r="J45" s="108">
        <f>'Hist. dane kwart. - Q figures'!Q45+'Hist. dane kwart. - Q figures'!R45</f>
        <v>0.63</v>
      </c>
      <c r="K45" s="108">
        <v>1.1714363127388123</v>
      </c>
      <c r="L45" s="108">
        <v>0.71895263227028905</v>
      </c>
      <c r="M45" s="108">
        <v>0.89298481706587496</v>
      </c>
      <c r="N45" s="104"/>
      <c r="O45" s="10"/>
      <c r="P45" s="104"/>
    </row>
    <row r="46" spans="1:16">
      <c r="A46" s="260"/>
      <c r="B46" s="522"/>
      <c r="D46" s="104"/>
      <c r="O46" s="10"/>
    </row>
    <row r="47" spans="1:16" ht="15.5">
      <c r="A47" s="568" t="s">
        <v>381</v>
      </c>
      <c r="C47" s="88"/>
      <c r="D47" s="88"/>
      <c r="E47" s="88"/>
      <c r="F47" s="829"/>
      <c r="G47" s="830"/>
      <c r="H47" s="830"/>
      <c r="I47" s="830"/>
      <c r="J47" s="830"/>
      <c r="K47" s="830"/>
      <c r="L47" s="830"/>
      <c r="M47" s="830"/>
      <c r="O47" s="10"/>
    </row>
    <row r="48" spans="1:16" ht="47.25" customHeight="1">
      <c r="A48" s="569" t="s">
        <v>671</v>
      </c>
      <c r="D48" s="72" t="s">
        <v>658</v>
      </c>
      <c r="E48" s="72" t="s">
        <v>698</v>
      </c>
      <c r="F48" s="72" t="s">
        <v>850</v>
      </c>
      <c r="G48" s="72" t="s">
        <v>778</v>
      </c>
      <c r="H48" s="72" t="s">
        <v>822</v>
      </c>
      <c r="I48" s="72" t="s">
        <v>830</v>
      </c>
      <c r="J48" s="72" t="s">
        <v>852</v>
      </c>
      <c r="K48" s="72" t="s">
        <v>918</v>
      </c>
      <c r="L48" s="72" t="s">
        <v>965</v>
      </c>
      <c r="M48" s="72" t="s">
        <v>1019</v>
      </c>
      <c r="O48" s="10"/>
    </row>
    <row r="49" spans="1:15">
      <c r="A49" s="79" t="s">
        <v>217</v>
      </c>
      <c r="O49" s="10"/>
    </row>
    <row r="50" spans="1:15">
      <c r="A50" s="79" t="s">
        <v>218</v>
      </c>
      <c r="D50" s="104"/>
      <c r="O50" s="10"/>
    </row>
    <row r="51" spans="1:15">
      <c r="A51" s="79" t="s">
        <v>219</v>
      </c>
      <c r="D51" s="105">
        <v>29174</v>
      </c>
      <c r="E51" s="105">
        <v>29272</v>
      </c>
      <c r="F51" s="105">
        <v>29731</v>
      </c>
      <c r="G51" s="105">
        <v>30636</v>
      </c>
      <c r="H51" s="105">
        <v>31872</v>
      </c>
      <c r="I51" s="105">
        <v>31061</v>
      </c>
      <c r="J51" s="105">
        <v>33247</v>
      </c>
      <c r="K51" s="105">
        <v>34343</v>
      </c>
      <c r="L51" s="105">
        <v>36566</v>
      </c>
      <c r="M51" s="105">
        <v>37744</v>
      </c>
      <c r="N51" s="104"/>
      <c r="O51" s="10"/>
    </row>
    <row r="52" spans="1:15">
      <c r="A52" s="79" t="s">
        <v>532</v>
      </c>
      <c r="D52" s="105">
        <v>1946</v>
      </c>
      <c r="E52" s="105">
        <v>1999</v>
      </c>
      <c r="F52" s="105">
        <v>1996</v>
      </c>
      <c r="G52" s="105">
        <v>2025</v>
      </c>
      <c r="H52" s="105">
        <v>2164</v>
      </c>
      <c r="I52" s="105">
        <v>2364</v>
      </c>
      <c r="J52" s="105">
        <v>2495</v>
      </c>
      <c r="K52" s="105">
        <v>2514</v>
      </c>
      <c r="L52" s="105">
        <v>2591</v>
      </c>
      <c r="M52" s="105">
        <v>2766</v>
      </c>
      <c r="N52" s="104"/>
    </row>
    <row r="53" spans="1:15">
      <c r="A53" s="79" t="s">
        <v>220</v>
      </c>
      <c r="D53" s="105">
        <v>26</v>
      </c>
      <c r="E53" s="105">
        <v>26</v>
      </c>
      <c r="F53" s="105">
        <v>26</v>
      </c>
      <c r="G53" s="105">
        <v>26</v>
      </c>
      <c r="H53" s="105">
        <v>26</v>
      </c>
      <c r="I53" s="105">
        <v>26</v>
      </c>
      <c r="J53" s="105">
        <v>26</v>
      </c>
      <c r="K53" s="105">
        <v>26</v>
      </c>
      <c r="L53" s="105">
        <v>26</v>
      </c>
      <c r="M53" s="105">
        <v>26</v>
      </c>
      <c r="N53" s="104"/>
    </row>
    <row r="54" spans="1:15" ht="28">
      <c r="A54" s="122" t="s">
        <v>603</v>
      </c>
      <c r="D54" s="105">
        <v>444</v>
      </c>
      <c r="E54" s="105">
        <v>0</v>
      </c>
      <c r="F54" s="105">
        <v>55</v>
      </c>
      <c r="G54" s="105">
        <v>0</v>
      </c>
      <c r="H54" s="105">
        <v>24</v>
      </c>
      <c r="I54" s="105">
        <v>24</v>
      </c>
      <c r="J54" s="105">
        <v>38</v>
      </c>
      <c r="K54" s="105">
        <v>20</v>
      </c>
      <c r="L54" s="105">
        <v>47</v>
      </c>
      <c r="M54" s="105">
        <v>13</v>
      </c>
      <c r="N54" s="104"/>
    </row>
    <row r="55" spans="1:15">
      <c r="A55" s="79" t="s">
        <v>221</v>
      </c>
      <c r="D55" s="105">
        <v>540</v>
      </c>
      <c r="E55" s="105">
        <v>644</v>
      </c>
      <c r="F55" s="105">
        <v>726</v>
      </c>
      <c r="G55" s="105">
        <v>709</v>
      </c>
      <c r="H55" s="105">
        <v>848</v>
      </c>
      <c r="I55" s="105">
        <v>799</v>
      </c>
      <c r="J55" s="105">
        <v>768</v>
      </c>
      <c r="K55" s="105">
        <v>756</v>
      </c>
      <c r="L55" s="105">
        <v>846</v>
      </c>
      <c r="M55" s="105">
        <v>803</v>
      </c>
      <c r="N55" s="104"/>
    </row>
    <row r="56" spans="1:15">
      <c r="A56" s="79" t="s">
        <v>222</v>
      </c>
      <c r="D56" s="105">
        <v>597</v>
      </c>
      <c r="E56" s="105">
        <v>652</v>
      </c>
      <c r="F56" s="105">
        <v>682</v>
      </c>
      <c r="G56" s="105">
        <v>736</v>
      </c>
      <c r="H56" s="105">
        <v>169</v>
      </c>
      <c r="I56" s="105">
        <v>190</v>
      </c>
      <c r="J56" s="105">
        <v>190</v>
      </c>
      <c r="K56" s="105">
        <v>212</v>
      </c>
      <c r="L56" s="105">
        <v>239</v>
      </c>
      <c r="M56" s="105">
        <v>277</v>
      </c>
      <c r="N56" s="104"/>
    </row>
    <row r="57" spans="1:15">
      <c r="A57" s="79" t="s">
        <v>223</v>
      </c>
      <c r="D57" s="105">
        <v>99</v>
      </c>
      <c r="E57" s="105">
        <v>199</v>
      </c>
      <c r="F57" s="105">
        <v>206</v>
      </c>
      <c r="G57" s="105">
        <v>220</v>
      </c>
      <c r="H57" s="105">
        <v>357</v>
      </c>
      <c r="I57" s="105">
        <v>448</v>
      </c>
      <c r="J57" s="105">
        <v>479</v>
      </c>
      <c r="K57" s="105">
        <v>512</v>
      </c>
      <c r="L57" s="105">
        <v>494</v>
      </c>
      <c r="M57" s="105">
        <v>567</v>
      </c>
      <c r="N57" s="104"/>
    </row>
    <row r="58" spans="1:15">
      <c r="A58" s="79" t="s">
        <v>385</v>
      </c>
      <c r="D58" s="105">
        <v>532</v>
      </c>
      <c r="E58" s="105">
        <v>690</v>
      </c>
      <c r="F58" s="105">
        <v>390</v>
      </c>
      <c r="G58" s="105">
        <v>244</v>
      </c>
      <c r="H58" s="105">
        <v>149</v>
      </c>
      <c r="I58" s="105">
        <v>180</v>
      </c>
      <c r="J58" s="105">
        <v>90</v>
      </c>
      <c r="K58" s="105">
        <v>73</v>
      </c>
      <c r="L58" s="105">
        <v>45</v>
      </c>
      <c r="M58" s="105">
        <v>43</v>
      </c>
      <c r="N58" s="104"/>
    </row>
    <row r="59" spans="1:15">
      <c r="A59" s="79" t="s">
        <v>224</v>
      </c>
      <c r="D59" s="105">
        <v>215</v>
      </c>
      <c r="E59" s="105">
        <v>232</v>
      </c>
      <c r="F59" s="105">
        <v>301</v>
      </c>
      <c r="G59" s="105">
        <v>239</v>
      </c>
      <c r="H59" s="105">
        <v>278</v>
      </c>
      <c r="I59" s="105">
        <v>262</v>
      </c>
      <c r="J59" s="105">
        <v>259</v>
      </c>
      <c r="K59" s="105">
        <v>262</v>
      </c>
      <c r="L59" s="105">
        <v>233</v>
      </c>
      <c r="M59" s="105">
        <v>234</v>
      </c>
      <c r="N59" s="104"/>
    </row>
    <row r="60" spans="1:15">
      <c r="A60" s="79" t="s">
        <v>225</v>
      </c>
      <c r="D60" s="105">
        <v>159</v>
      </c>
      <c r="E60" s="105">
        <v>272</v>
      </c>
      <c r="F60" s="105">
        <v>268</v>
      </c>
      <c r="G60" s="105">
        <v>322</v>
      </c>
      <c r="H60" s="105">
        <v>707</v>
      </c>
      <c r="I60" s="105">
        <v>892</v>
      </c>
      <c r="J60" s="105">
        <v>333</v>
      </c>
      <c r="K60" s="105">
        <v>750</v>
      </c>
      <c r="L60" s="105">
        <v>980</v>
      </c>
      <c r="M60" s="105">
        <v>1055</v>
      </c>
      <c r="N60" s="104"/>
    </row>
    <row r="61" spans="1:15">
      <c r="A61" s="83" t="s">
        <v>382</v>
      </c>
      <c r="D61" s="111">
        <v>123</v>
      </c>
      <c r="E61" s="111">
        <v>1212</v>
      </c>
      <c r="F61" s="111">
        <v>672</v>
      </c>
      <c r="G61" s="111">
        <v>532</v>
      </c>
      <c r="H61" s="111">
        <v>759</v>
      </c>
      <c r="I61" s="111">
        <v>369</v>
      </c>
      <c r="J61" s="111">
        <v>144</v>
      </c>
      <c r="K61" s="111">
        <v>154</v>
      </c>
      <c r="L61" s="111">
        <v>46</v>
      </c>
      <c r="M61" s="111">
        <v>52</v>
      </c>
      <c r="N61" s="104"/>
    </row>
    <row r="62" spans="1:15">
      <c r="A62" s="99"/>
      <c r="D62" s="105">
        <v>33855</v>
      </c>
      <c r="E62" s="105">
        <v>35198</v>
      </c>
      <c r="F62" s="105">
        <v>35053</v>
      </c>
      <c r="G62" s="105">
        <v>35689</v>
      </c>
      <c r="H62" s="105">
        <v>37353</v>
      </c>
      <c r="I62" s="105">
        <v>36615</v>
      </c>
      <c r="J62" s="105">
        <v>38069</v>
      </c>
      <c r="K62" s="105">
        <v>39622</v>
      </c>
      <c r="L62" s="105">
        <v>42113</v>
      </c>
      <c r="M62" s="105">
        <v>43580</v>
      </c>
      <c r="N62" s="104"/>
    </row>
    <row r="63" spans="1:15">
      <c r="A63" s="79" t="s">
        <v>227</v>
      </c>
      <c r="N63" s="104"/>
    </row>
    <row r="64" spans="1:15" ht="28">
      <c r="A64" s="122" t="s">
        <v>602</v>
      </c>
      <c r="D64" s="105">
        <v>157</v>
      </c>
      <c r="E64" s="105">
        <v>576</v>
      </c>
      <c r="F64" s="105">
        <v>597</v>
      </c>
      <c r="G64" s="105">
        <v>395</v>
      </c>
      <c r="H64" s="105">
        <v>702</v>
      </c>
      <c r="I64" s="105">
        <v>527</v>
      </c>
      <c r="J64" s="105">
        <v>360</v>
      </c>
      <c r="K64" s="105">
        <v>738</v>
      </c>
      <c r="L64" s="105">
        <v>227</v>
      </c>
      <c r="M64" s="105">
        <v>98</v>
      </c>
      <c r="N64" s="104"/>
    </row>
    <row r="65" spans="1:56">
      <c r="A65" s="79" t="s">
        <v>228</v>
      </c>
      <c r="D65" s="105">
        <v>543</v>
      </c>
      <c r="E65" s="105">
        <v>577</v>
      </c>
      <c r="F65" s="105">
        <v>1118</v>
      </c>
      <c r="G65" s="105">
        <v>1638</v>
      </c>
      <c r="H65" s="105">
        <v>1483</v>
      </c>
      <c r="I65" s="105">
        <v>1184</v>
      </c>
      <c r="J65" s="105">
        <v>937</v>
      </c>
      <c r="K65" s="71">
        <v>754</v>
      </c>
      <c r="L65" s="71">
        <v>807</v>
      </c>
      <c r="M65" s="71">
        <v>733</v>
      </c>
      <c r="N65" s="104"/>
      <c r="AO65" s="106"/>
    </row>
    <row r="66" spans="1:56" s="128" customFormat="1" ht="15" customHeight="1">
      <c r="A66" s="79" t="s">
        <v>229</v>
      </c>
      <c r="B66" s="521"/>
      <c r="C66" s="71"/>
      <c r="D66" s="105">
        <v>3322</v>
      </c>
      <c r="E66" s="105">
        <v>3519</v>
      </c>
      <c r="F66" s="105">
        <v>3775</v>
      </c>
      <c r="G66" s="105">
        <v>4741</v>
      </c>
      <c r="H66" s="105">
        <v>4681</v>
      </c>
      <c r="I66" s="105">
        <v>4041</v>
      </c>
      <c r="J66" s="105">
        <v>4089</v>
      </c>
      <c r="K66" s="71">
        <v>3525</v>
      </c>
      <c r="L66" s="71">
        <v>4056</v>
      </c>
      <c r="M66" s="71">
        <v>3692</v>
      </c>
      <c r="N66" s="104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106"/>
      <c r="AZ66" s="106"/>
      <c r="BA66" s="106"/>
      <c r="BB66" s="106"/>
      <c r="BC66" s="106"/>
      <c r="BD66" s="106"/>
    </row>
    <row r="67" spans="1:56" s="129" customFormat="1">
      <c r="A67" s="79" t="s">
        <v>383</v>
      </c>
      <c r="B67" s="521"/>
      <c r="C67" s="71"/>
      <c r="D67" s="105">
        <v>415</v>
      </c>
      <c r="E67" s="105">
        <v>158</v>
      </c>
      <c r="F67" s="105">
        <v>518</v>
      </c>
      <c r="G67" s="105">
        <v>210</v>
      </c>
      <c r="H67" s="105">
        <v>105</v>
      </c>
      <c r="I67" s="105">
        <v>36</v>
      </c>
      <c r="J67" s="105">
        <v>130</v>
      </c>
      <c r="K67" s="71">
        <v>80</v>
      </c>
      <c r="L67" s="71">
        <v>63</v>
      </c>
      <c r="M67" s="71">
        <v>3</v>
      </c>
      <c r="N67" s="104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106"/>
      <c r="AZ67" s="106"/>
      <c r="BA67" s="106"/>
      <c r="BB67" s="106"/>
      <c r="BC67" s="106"/>
      <c r="BD67" s="106"/>
    </row>
    <row r="68" spans="1:56" s="129" customFormat="1">
      <c r="A68" s="79" t="s">
        <v>230</v>
      </c>
      <c r="B68" s="521"/>
      <c r="C68" s="71"/>
      <c r="D68" s="104">
        <v>292</v>
      </c>
      <c r="E68" s="104">
        <v>578</v>
      </c>
      <c r="F68" s="104">
        <v>803</v>
      </c>
      <c r="G68" s="104">
        <v>443</v>
      </c>
      <c r="H68" s="104">
        <v>794</v>
      </c>
      <c r="I68" s="104">
        <v>421</v>
      </c>
      <c r="J68" s="104">
        <v>459</v>
      </c>
      <c r="K68" s="71">
        <v>462</v>
      </c>
      <c r="L68" s="71">
        <v>441</v>
      </c>
      <c r="M68" s="71">
        <v>219</v>
      </c>
      <c r="N68" s="104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106"/>
      <c r="AZ68" s="106"/>
      <c r="BA68" s="106"/>
      <c r="BB68" s="106"/>
      <c r="BC68" s="106"/>
      <c r="BD68" s="106"/>
    </row>
    <row r="69" spans="1:56" s="128" customFormat="1" ht="14.9" customHeight="1">
      <c r="A69" s="79" t="s">
        <v>223</v>
      </c>
      <c r="B69" s="521"/>
      <c r="C69" s="71"/>
      <c r="D69" s="105">
        <v>0</v>
      </c>
      <c r="E69" s="105">
        <v>0</v>
      </c>
      <c r="F69" s="105">
        <v>0</v>
      </c>
      <c r="G69" s="105">
        <v>0</v>
      </c>
      <c r="H69" s="105">
        <v>0</v>
      </c>
      <c r="I69" s="105">
        <v>0</v>
      </c>
      <c r="J69" s="105">
        <v>0</v>
      </c>
      <c r="K69" s="105">
        <v>0</v>
      </c>
      <c r="L69" s="105">
        <v>0</v>
      </c>
      <c r="M69" s="105">
        <v>0</v>
      </c>
      <c r="N69" s="104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106"/>
      <c r="AZ69" s="106"/>
      <c r="BA69" s="106"/>
      <c r="BB69" s="106"/>
      <c r="BC69" s="106"/>
      <c r="BD69" s="106"/>
    </row>
    <row r="70" spans="1:56" s="129" customFormat="1">
      <c r="A70" s="79" t="s">
        <v>680</v>
      </c>
      <c r="B70" s="521"/>
      <c r="C70" s="71"/>
      <c r="D70" s="105">
        <v>465</v>
      </c>
      <c r="E70" s="105">
        <v>943</v>
      </c>
      <c r="F70" s="105">
        <v>459</v>
      </c>
      <c r="G70" s="105">
        <v>345</v>
      </c>
      <c r="H70" s="105">
        <v>275</v>
      </c>
      <c r="I70" s="105">
        <v>369</v>
      </c>
      <c r="J70" s="105">
        <v>159</v>
      </c>
      <c r="K70" s="71">
        <v>141</v>
      </c>
      <c r="L70" s="71">
        <v>63</v>
      </c>
      <c r="M70" s="71">
        <v>48</v>
      </c>
      <c r="N70" s="104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106"/>
      <c r="AZ70" s="106"/>
      <c r="BA70" s="106"/>
      <c r="BB70" s="106"/>
      <c r="BC70" s="106"/>
      <c r="BD70" s="106"/>
    </row>
    <row r="71" spans="1:56" s="129" customFormat="1">
      <c r="A71" s="79" t="s">
        <v>224</v>
      </c>
      <c r="B71" s="521"/>
      <c r="C71" s="71"/>
      <c r="D71" s="105">
        <v>89</v>
      </c>
      <c r="E71" s="105">
        <v>121</v>
      </c>
      <c r="F71" s="105">
        <v>478</v>
      </c>
      <c r="G71" s="105">
        <v>2451</v>
      </c>
      <c r="H71" s="105">
        <v>2449</v>
      </c>
      <c r="I71" s="105">
        <v>921</v>
      </c>
      <c r="J71" s="105">
        <v>743</v>
      </c>
      <c r="K71" s="71">
        <v>285</v>
      </c>
      <c r="L71" s="71">
        <v>320</v>
      </c>
      <c r="M71" s="71">
        <v>58</v>
      </c>
      <c r="N71" s="104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106"/>
      <c r="AZ71" s="106"/>
      <c r="BA71" s="106"/>
      <c r="BB71" s="106"/>
      <c r="BC71" s="106"/>
      <c r="BD71" s="106"/>
    </row>
    <row r="72" spans="1:56">
      <c r="A72" s="117" t="s">
        <v>225</v>
      </c>
      <c r="D72" s="105">
        <v>112</v>
      </c>
      <c r="E72" s="105">
        <v>124</v>
      </c>
      <c r="F72" s="105">
        <v>790</v>
      </c>
      <c r="G72" s="105">
        <v>534</v>
      </c>
      <c r="H72" s="105">
        <v>207</v>
      </c>
      <c r="I72" s="105">
        <v>391</v>
      </c>
      <c r="J72" s="105">
        <v>167</v>
      </c>
      <c r="K72" s="71">
        <v>203</v>
      </c>
      <c r="L72" s="71">
        <v>133</v>
      </c>
      <c r="M72" s="71">
        <v>178</v>
      </c>
      <c r="N72" s="104"/>
    </row>
    <row r="73" spans="1:56">
      <c r="A73" s="79" t="s">
        <v>231</v>
      </c>
      <c r="D73" s="105">
        <v>815</v>
      </c>
      <c r="E73" s="105">
        <v>874</v>
      </c>
      <c r="F73" s="105">
        <v>1678</v>
      </c>
      <c r="G73" s="105">
        <v>1247</v>
      </c>
      <c r="H73" s="105">
        <v>1084</v>
      </c>
      <c r="I73" s="105">
        <v>489</v>
      </c>
      <c r="J73" s="105">
        <v>596</v>
      </c>
      <c r="K73" s="71">
        <v>412</v>
      </c>
      <c r="L73" s="71">
        <v>489</v>
      </c>
      <c r="M73" s="71">
        <v>2660</v>
      </c>
      <c r="N73" s="104"/>
    </row>
    <row r="74" spans="1:56">
      <c r="A74" s="261" t="s">
        <v>601</v>
      </c>
      <c r="D74" s="105">
        <v>10</v>
      </c>
      <c r="E74" s="105">
        <v>8</v>
      </c>
      <c r="F74" s="105">
        <v>7</v>
      </c>
      <c r="G74" s="105">
        <v>7</v>
      </c>
      <c r="H74" s="105">
        <v>5</v>
      </c>
      <c r="I74" s="105">
        <v>6</v>
      </c>
      <c r="J74" s="105">
        <v>5</v>
      </c>
      <c r="K74" s="105">
        <v>5</v>
      </c>
      <c r="L74" s="105">
        <v>5</v>
      </c>
      <c r="M74" s="105">
        <v>4</v>
      </c>
      <c r="N74" s="104"/>
    </row>
    <row r="75" spans="1:56">
      <c r="A75" s="79"/>
      <c r="D75" s="112">
        <v>6220</v>
      </c>
      <c r="E75" s="112">
        <v>7478</v>
      </c>
      <c r="F75" s="112">
        <v>10223</v>
      </c>
      <c r="G75" s="112">
        <v>12011</v>
      </c>
      <c r="H75" s="112">
        <v>11785</v>
      </c>
      <c r="I75" s="112">
        <v>8385</v>
      </c>
      <c r="J75" s="112">
        <v>7645</v>
      </c>
      <c r="K75" s="112">
        <v>6605</v>
      </c>
      <c r="L75" s="112">
        <v>6604</v>
      </c>
      <c r="M75" s="112">
        <v>7693</v>
      </c>
      <c r="N75" s="104"/>
    </row>
    <row r="76" spans="1:56">
      <c r="A76" s="79"/>
      <c r="N76" s="104"/>
    </row>
    <row r="77" spans="1:56">
      <c r="A77" s="73" t="s">
        <v>232</v>
      </c>
      <c r="D77" s="107">
        <v>40075</v>
      </c>
      <c r="E77" s="107">
        <v>42676</v>
      </c>
      <c r="F77" s="107">
        <v>45276</v>
      </c>
      <c r="G77" s="107">
        <v>47700</v>
      </c>
      <c r="H77" s="107">
        <v>49138</v>
      </c>
      <c r="I77" s="107">
        <v>45000</v>
      </c>
      <c r="J77" s="107">
        <v>45714</v>
      </c>
      <c r="K77" s="107">
        <v>46227</v>
      </c>
      <c r="L77" s="107">
        <v>48717</v>
      </c>
      <c r="M77" s="107">
        <v>51273</v>
      </c>
      <c r="N77" s="104"/>
    </row>
    <row r="78" spans="1:56">
      <c r="A78" s="79"/>
      <c r="F78" s="104"/>
      <c r="L78" s="104"/>
      <c r="M78" s="104"/>
      <c r="N78" s="104"/>
    </row>
    <row r="79" spans="1:56">
      <c r="A79" s="95" t="s">
        <v>233</v>
      </c>
      <c r="F79" s="104"/>
      <c r="L79" s="104"/>
      <c r="M79" s="104"/>
      <c r="N79" s="104"/>
    </row>
    <row r="80" spans="1:56">
      <c r="A80" s="79" t="s">
        <v>384</v>
      </c>
      <c r="F80" s="104"/>
      <c r="L80" s="104"/>
      <c r="M80" s="104"/>
      <c r="N80" s="104"/>
    </row>
    <row r="81" spans="1:14">
      <c r="A81" s="79" t="s">
        <v>235</v>
      </c>
      <c r="D81" s="105">
        <v>8763</v>
      </c>
      <c r="E81" s="105">
        <v>8763</v>
      </c>
      <c r="F81" s="105">
        <v>8763</v>
      </c>
      <c r="G81" s="105">
        <v>8763</v>
      </c>
      <c r="H81" s="105">
        <v>8763</v>
      </c>
      <c r="I81" s="105">
        <v>8763</v>
      </c>
      <c r="J81" s="105">
        <v>8763</v>
      </c>
      <c r="K81" s="105">
        <v>8763</v>
      </c>
      <c r="L81" s="105">
        <v>8763</v>
      </c>
      <c r="M81" s="105">
        <v>8763</v>
      </c>
      <c r="N81" s="104"/>
    </row>
    <row r="82" spans="1:14">
      <c r="A82" s="79" t="s">
        <v>236</v>
      </c>
      <c r="D82" s="105">
        <v>2749</v>
      </c>
      <c r="E82" s="105">
        <v>3009</v>
      </c>
      <c r="F82" s="105">
        <v>3009</v>
      </c>
      <c r="G82" s="105">
        <v>3076</v>
      </c>
      <c r="H82" s="105">
        <v>3076</v>
      </c>
      <c r="I82" s="105">
        <v>2438</v>
      </c>
      <c r="J82" s="105">
        <v>2438</v>
      </c>
      <c r="K82" s="105">
        <v>2948</v>
      </c>
      <c r="L82" s="105">
        <v>2948</v>
      </c>
      <c r="M82" s="105">
        <v>5905</v>
      </c>
      <c r="N82" s="104"/>
    </row>
    <row r="83" spans="1:14">
      <c r="A83" s="79" t="s">
        <v>237</v>
      </c>
      <c r="D83" s="105">
        <v>299</v>
      </c>
      <c r="E83" s="105">
        <v>568</v>
      </c>
      <c r="F83" s="105">
        <v>450</v>
      </c>
      <c r="G83" s="105">
        <v>309</v>
      </c>
      <c r="H83" s="105">
        <v>218</v>
      </c>
      <c r="I83" s="105">
        <v>191</v>
      </c>
      <c r="J83" s="105">
        <v>139</v>
      </c>
      <c r="K83" s="105">
        <v>83</v>
      </c>
      <c r="L83" s="105">
        <v>-42</v>
      </c>
      <c r="M83" s="105">
        <v>-19</v>
      </c>
      <c r="N83" s="104"/>
    </row>
    <row r="84" spans="1:14">
      <c r="A84" s="79" t="s">
        <v>209</v>
      </c>
      <c r="D84" s="105">
        <v>43</v>
      </c>
      <c r="E84" s="105">
        <v>50</v>
      </c>
      <c r="F84" s="105">
        <v>60</v>
      </c>
      <c r="G84" s="105">
        <v>49</v>
      </c>
      <c r="H84" s="105">
        <v>62</v>
      </c>
      <c r="I84" s="105">
        <v>65</v>
      </c>
      <c r="J84" s="105">
        <v>-3</v>
      </c>
      <c r="K84" s="105">
        <v>-3</v>
      </c>
      <c r="L84" s="105">
        <v>-2</v>
      </c>
      <c r="M84" s="105">
        <v>-1</v>
      </c>
      <c r="N84" s="104"/>
    </row>
    <row r="85" spans="1:14">
      <c r="A85" s="80" t="s">
        <v>413</v>
      </c>
      <c r="D85" s="105">
        <v>4637</v>
      </c>
      <c r="E85" s="105">
        <v>5081</v>
      </c>
      <c r="F85" s="105">
        <v>4254</v>
      </c>
      <c r="G85" s="105">
        <v>6092</v>
      </c>
      <c r="H85" s="105">
        <v>5201</v>
      </c>
      <c r="I85" s="105">
        <v>5619</v>
      </c>
      <c r="J85" s="105">
        <v>6376</v>
      </c>
      <c r="K85" s="105">
        <v>7936</v>
      </c>
      <c r="L85" s="105">
        <v>9116</v>
      </c>
      <c r="M85" s="105">
        <v>7390</v>
      </c>
      <c r="N85" s="104"/>
    </row>
    <row r="86" spans="1:14">
      <c r="A86" s="79"/>
      <c r="D86" s="112">
        <v>16491</v>
      </c>
      <c r="E86" s="112">
        <v>17471</v>
      </c>
      <c r="F86" s="112">
        <v>16536</v>
      </c>
      <c r="G86" s="112">
        <v>18289</v>
      </c>
      <c r="H86" s="112">
        <v>17320</v>
      </c>
      <c r="I86" s="112">
        <v>17076</v>
      </c>
      <c r="J86" s="112">
        <v>17713</v>
      </c>
      <c r="K86" s="112">
        <v>19727</v>
      </c>
      <c r="L86" s="112">
        <v>20783</v>
      </c>
      <c r="M86" s="112">
        <v>22038</v>
      </c>
      <c r="N86" s="104"/>
    </row>
    <row r="87" spans="1:14">
      <c r="A87" s="79"/>
      <c r="N87" s="104"/>
    </row>
    <row r="88" spans="1:14">
      <c r="A88" s="79" t="s">
        <v>239</v>
      </c>
      <c r="D88" s="104">
        <v>33</v>
      </c>
      <c r="E88" s="71">
        <v>32</v>
      </c>
      <c r="F88" s="71">
        <v>33</v>
      </c>
      <c r="G88" s="71">
        <v>36</v>
      </c>
      <c r="H88" s="71">
        <v>38</v>
      </c>
      <c r="I88" s="71">
        <v>38</v>
      </c>
      <c r="J88" s="71">
        <v>41</v>
      </c>
      <c r="K88" s="71">
        <v>3</v>
      </c>
      <c r="L88" s="71">
        <v>3</v>
      </c>
      <c r="M88" s="71">
        <v>3</v>
      </c>
      <c r="N88" s="104"/>
    </row>
    <row r="89" spans="1:14">
      <c r="A89" s="79"/>
      <c r="N89" s="104"/>
    </row>
    <row r="90" spans="1:14">
      <c r="A90" s="82" t="s">
        <v>240</v>
      </c>
      <c r="D90" s="107">
        <v>16524</v>
      </c>
      <c r="E90" s="107">
        <v>17503</v>
      </c>
      <c r="F90" s="107">
        <v>16569</v>
      </c>
      <c r="G90" s="107">
        <v>18325</v>
      </c>
      <c r="H90" s="107">
        <v>17358</v>
      </c>
      <c r="I90" s="107">
        <v>17114</v>
      </c>
      <c r="J90" s="107">
        <v>17754</v>
      </c>
      <c r="K90" s="107">
        <v>19730</v>
      </c>
      <c r="L90" s="107">
        <v>20786</v>
      </c>
      <c r="M90" s="107">
        <v>22041</v>
      </c>
      <c r="N90" s="104"/>
    </row>
    <row r="91" spans="1:14">
      <c r="A91" s="79"/>
      <c r="F91" s="104"/>
      <c r="N91" s="104"/>
    </row>
    <row r="92" spans="1:14">
      <c r="A92" s="95" t="s">
        <v>241</v>
      </c>
      <c r="F92" s="104"/>
      <c r="N92" s="104"/>
    </row>
    <row r="93" spans="1:14">
      <c r="A93" s="79" t="s">
        <v>681</v>
      </c>
      <c r="D93" s="400">
        <v>10947</v>
      </c>
      <c r="E93" s="400">
        <v>12252</v>
      </c>
      <c r="F93" s="400">
        <v>15959</v>
      </c>
      <c r="G93" s="400">
        <v>15206</v>
      </c>
      <c r="H93" s="400">
        <v>15317</v>
      </c>
      <c r="I93" s="628">
        <v>12407</v>
      </c>
      <c r="J93" s="628">
        <v>12475</v>
      </c>
      <c r="K93" s="628">
        <v>12159</v>
      </c>
      <c r="L93" s="628">
        <v>11911</v>
      </c>
      <c r="M93" s="628">
        <v>11971</v>
      </c>
      <c r="N93" s="104"/>
    </row>
    <row r="94" spans="1:14">
      <c r="A94" s="79" t="s">
        <v>243</v>
      </c>
      <c r="D94" s="91">
        <v>789</v>
      </c>
      <c r="E94" s="91">
        <v>662</v>
      </c>
      <c r="F94" s="91">
        <v>494</v>
      </c>
      <c r="G94" s="91">
        <v>547</v>
      </c>
      <c r="H94" s="91">
        <v>650</v>
      </c>
      <c r="I94" s="628">
        <v>639</v>
      </c>
      <c r="J94" s="628">
        <v>701</v>
      </c>
      <c r="K94" s="628">
        <v>713</v>
      </c>
      <c r="L94" s="628">
        <v>820</v>
      </c>
      <c r="M94" s="628">
        <v>834</v>
      </c>
      <c r="N94" s="104"/>
    </row>
    <row r="95" spans="1:14" ht="26">
      <c r="A95" s="250" t="s">
        <v>682</v>
      </c>
      <c r="D95" s="400">
        <v>436</v>
      </c>
      <c r="E95" s="400">
        <v>290</v>
      </c>
      <c r="F95" s="400">
        <v>157</v>
      </c>
      <c r="G95" s="400">
        <v>161</v>
      </c>
      <c r="H95" s="400">
        <v>209</v>
      </c>
      <c r="I95" s="628">
        <v>206</v>
      </c>
      <c r="J95" s="628">
        <v>216</v>
      </c>
      <c r="K95" s="628">
        <v>222</v>
      </c>
      <c r="L95" s="628">
        <v>293</v>
      </c>
      <c r="M95" s="628">
        <v>299</v>
      </c>
      <c r="N95" s="104"/>
    </row>
    <row r="96" spans="1:14">
      <c r="A96" s="79" t="s">
        <v>244</v>
      </c>
      <c r="D96" s="91">
        <v>568</v>
      </c>
      <c r="E96" s="91">
        <v>570</v>
      </c>
      <c r="F96" s="91">
        <v>571</v>
      </c>
      <c r="G96" s="91">
        <v>584</v>
      </c>
      <c r="H96" s="91">
        <v>607</v>
      </c>
      <c r="I96" s="628">
        <v>599</v>
      </c>
      <c r="J96" s="628">
        <v>612</v>
      </c>
      <c r="K96" s="628">
        <v>1023</v>
      </c>
      <c r="L96" s="628">
        <v>1670</v>
      </c>
      <c r="M96" s="628">
        <v>2313</v>
      </c>
      <c r="N96" s="104"/>
    </row>
    <row r="97" spans="1:14">
      <c r="A97" s="79" t="s">
        <v>386</v>
      </c>
      <c r="D97" s="91">
        <v>741</v>
      </c>
      <c r="E97" s="91">
        <v>1564</v>
      </c>
      <c r="F97" s="91">
        <v>1190</v>
      </c>
      <c r="G97" s="91">
        <v>1286</v>
      </c>
      <c r="H97" s="91">
        <v>1072</v>
      </c>
      <c r="I97" s="628">
        <v>1543</v>
      </c>
      <c r="J97" s="628">
        <v>1592</v>
      </c>
      <c r="K97" s="628">
        <v>1412</v>
      </c>
      <c r="L97" s="628">
        <v>1529</v>
      </c>
      <c r="M97" s="628">
        <v>1706</v>
      </c>
      <c r="N97" s="104"/>
    </row>
    <row r="98" spans="1:14">
      <c r="A98" s="79" t="s">
        <v>385</v>
      </c>
      <c r="D98" s="91">
        <v>116</v>
      </c>
      <c r="E98" s="91">
        <v>83</v>
      </c>
      <c r="F98" s="91">
        <v>10</v>
      </c>
      <c r="G98" s="91">
        <v>62</v>
      </c>
      <c r="H98" s="91">
        <v>169</v>
      </c>
      <c r="I98" s="628">
        <v>177</v>
      </c>
      <c r="J98" s="628">
        <v>64</v>
      </c>
      <c r="K98" s="628">
        <v>148</v>
      </c>
      <c r="L98" s="628">
        <v>91</v>
      </c>
      <c r="M98" s="628">
        <v>84</v>
      </c>
      <c r="N98" s="104"/>
    </row>
    <row r="99" spans="1:14">
      <c r="A99" s="79" t="s">
        <v>247</v>
      </c>
      <c r="D99" s="91">
        <v>33</v>
      </c>
      <c r="E99" s="91">
        <v>99</v>
      </c>
      <c r="F99" s="91">
        <v>119</v>
      </c>
      <c r="G99" s="91">
        <v>123</v>
      </c>
      <c r="H99" s="91">
        <v>184</v>
      </c>
      <c r="I99" s="628">
        <f>138+46</f>
        <v>184</v>
      </c>
      <c r="J99" s="628">
        <v>146</v>
      </c>
      <c r="K99" s="628">
        <f>75+35</f>
        <v>110</v>
      </c>
      <c r="L99" s="628">
        <v>78</v>
      </c>
      <c r="M99" s="628">
        <v>36</v>
      </c>
      <c r="N99" s="104"/>
    </row>
    <row r="100" spans="1:14" ht="15.5">
      <c r="A100" s="83" t="s">
        <v>251</v>
      </c>
      <c r="D100" s="84">
        <v>4</v>
      </c>
      <c r="E100" s="84">
        <v>1</v>
      </c>
      <c r="F100" s="84">
        <v>1</v>
      </c>
      <c r="G100" s="84">
        <v>1</v>
      </c>
      <c r="H100" s="84">
        <v>1</v>
      </c>
      <c r="I100" s="92">
        <v>1</v>
      </c>
      <c r="J100" s="92">
        <v>1</v>
      </c>
      <c r="K100" s="92">
        <v>1</v>
      </c>
      <c r="L100" s="92">
        <v>1</v>
      </c>
      <c r="M100" s="114">
        <v>0</v>
      </c>
      <c r="N100" s="104"/>
    </row>
    <row r="101" spans="1:14">
      <c r="A101" s="99"/>
      <c r="D101" s="91">
        <v>13634</v>
      </c>
      <c r="E101" s="91">
        <v>15521</v>
      </c>
      <c r="F101" s="91">
        <v>18501</v>
      </c>
      <c r="G101" s="91">
        <v>17970</v>
      </c>
      <c r="H101" s="91">
        <v>18209</v>
      </c>
      <c r="I101" s="91">
        <v>15756</v>
      </c>
      <c r="J101" s="91">
        <v>15807</v>
      </c>
      <c r="K101" s="91">
        <v>15788</v>
      </c>
      <c r="L101" s="91">
        <v>16393</v>
      </c>
      <c r="M101" s="91">
        <v>17243</v>
      </c>
      <c r="N101" s="104"/>
    </row>
    <row r="102" spans="1:14">
      <c r="A102" s="79" t="s">
        <v>248</v>
      </c>
      <c r="N102" s="104"/>
    </row>
    <row r="103" spans="1:14" ht="15.5">
      <c r="A103" s="79" t="s">
        <v>681</v>
      </c>
      <c r="D103" s="561">
        <v>2143</v>
      </c>
      <c r="E103" s="561">
        <v>2161</v>
      </c>
      <c r="F103" s="561">
        <v>528</v>
      </c>
      <c r="G103" s="561">
        <v>1357</v>
      </c>
      <c r="H103" s="561">
        <v>2098</v>
      </c>
      <c r="I103" s="561">
        <v>1918</v>
      </c>
      <c r="J103" s="561">
        <v>2140</v>
      </c>
      <c r="K103" s="71">
        <v>1925</v>
      </c>
      <c r="L103" s="71">
        <v>1207</v>
      </c>
      <c r="M103" s="71">
        <v>1088</v>
      </c>
      <c r="N103" s="104"/>
    </row>
    <row r="104" spans="1:14" ht="15.5">
      <c r="A104" s="79" t="s">
        <v>246</v>
      </c>
      <c r="D104" s="561">
        <v>1242</v>
      </c>
      <c r="E104" s="561">
        <v>1359</v>
      </c>
      <c r="F104" s="561">
        <v>2257</v>
      </c>
      <c r="G104" s="561">
        <v>1687</v>
      </c>
      <c r="H104" s="561">
        <v>2163</v>
      </c>
      <c r="I104" s="561">
        <v>1446</v>
      </c>
      <c r="J104" s="561">
        <v>1955</v>
      </c>
      <c r="K104" s="71">
        <v>1386</v>
      </c>
      <c r="L104" s="71">
        <v>1852</v>
      </c>
      <c r="M104" s="71">
        <v>1620</v>
      </c>
      <c r="N104" s="104"/>
    </row>
    <row r="105" spans="1:14" ht="15.5">
      <c r="A105" s="572" t="s">
        <v>683</v>
      </c>
      <c r="D105" s="113">
        <v>1061</v>
      </c>
      <c r="E105" s="113">
        <v>0</v>
      </c>
      <c r="F105" s="113">
        <v>0</v>
      </c>
      <c r="G105" s="113">
        <v>0</v>
      </c>
      <c r="H105" s="113">
        <v>0</v>
      </c>
      <c r="I105" s="113">
        <v>0</v>
      </c>
      <c r="J105" s="113">
        <v>0</v>
      </c>
      <c r="K105" s="113">
        <v>0</v>
      </c>
      <c r="L105" s="113">
        <v>0</v>
      </c>
      <c r="M105" s="113">
        <v>0</v>
      </c>
      <c r="N105" s="104"/>
    </row>
    <row r="106" spans="1:14" ht="15.5">
      <c r="A106" s="79" t="s">
        <v>249</v>
      </c>
      <c r="D106" s="113">
        <v>616</v>
      </c>
      <c r="E106" s="113">
        <v>399</v>
      </c>
      <c r="F106" s="113">
        <v>707</v>
      </c>
      <c r="G106" s="113">
        <v>448</v>
      </c>
      <c r="H106" s="113">
        <v>555</v>
      </c>
      <c r="I106" s="113">
        <v>529</v>
      </c>
      <c r="J106" s="113">
        <v>592</v>
      </c>
      <c r="K106" s="71">
        <v>614</v>
      </c>
      <c r="L106" s="71">
        <v>916</v>
      </c>
      <c r="M106" s="71">
        <v>602</v>
      </c>
      <c r="N106" s="104"/>
    </row>
    <row r="107" spans="1:14" ht="15.5">
      <c r="A107" s="79" t="s">
        <v>243</v>
      </c>
      <c r="D107" s="113">
        <v>104</v>
      </c>
      <c r="E107" s="113">
        <v>116</v>
      </c>
      <c r="F107" s="113">
        <v>92</v>
      </c>
      <c r="G107" s="113">
        <v>72</v>
      </c>
      <c r="H107" s="113">
        <v>104</v>
      </c>
      <c r="I107" s="113">
        <v>78</v>
      </c>
      <c r="J107" s="113">
        <v>110</v>
      </c>
      <c r="K107" s="71">
        <v>84</v>
      </c>
      <c r="L107" s="71">
        <v>171</v>
      </c>
      <c r="M107" s="71">
        <v>135</v>
      </c>
      <c r="N107" s="104"/>
    </row>
    <row r="108" spans="1:14" ht="26">
      <c r="A108" s="250" t="s">
        <v>684</v>
      </c>
      <c r="D108" s="113">
        <v>1890</v>
      </c>
      <c r="E108" s="113">
        <v>1697</v>
      </c>
      <c r="F108" s="113">
        <v>3692</v>
      </c>
      <c r="G108" s="113">
        <v>1946</v>
      </c>
      <c r="H108" s="628">
        <v>3744</v>
      </c>
      <c r="I108" s="628">
        <v>4432</v>
      </c>
      <c r="J108" s="628">
        <v>3386</v>
      </c>
      <c r="K108" s="628">
        <v>3266</v>
      </c>
      <c r="L108" s="628">
        <v>3327</v>
      </c>
      <c r="M108" s="628">
        <v>4853</v>
      </c>
      <c r="N108" s="104"/>
    </row>
    <row r="109" spans="1:14" ht="15.5">
      <c r="A109" s="79" t="s">
        <v>250</v>
      </c>
      <c r="D109" s="113">
        <v>619</v>
      </c>
      <c r="E109" s="113">
        <v>1219</v>
      </c>
      <c r="F109" s="113">
        <v>387</v>
      </c>
      <c r="G109" s="113">
        <v>299</v>
      </c>
      <c r="H109" s="628">
        <v>843</v>
      </c>
      <c r="I109" s="628">
        <v>300</v>
      </c>
      <c r="J109" s="628">
        <v>236</v>
      </c>
      <c r="K109" s="628">
        <v>222</v>
      </c>
      <c r="L109" s="628">
        <v>637</v>
      </c>
      <c r="M109" s="628">
        <v>296</v>
      </c>
      <c r="N109" s="104"/>
    </row>
    <row r="110" spans="1:14" ht="15.5">
      <c r="A110" s="79" t="s">
        <v>244</v>
      </c>
      <c r="D110" s="113">
        <v>177</v>
      </c>
      <c r="E110" s="113">
        <v>335</v>
      </c>
      <c r="F110" s="113">
        <v>513</v>
      </c>
      <c r="G110" s="113">
        <v>2674</v>
      </c>
      <c r="H110" s="628">
        <v>351</v>
      </c>
      <c r="I110" s="628">
        <v>349</v>
      </c>
      <c r="J110" s="628">
        <v>398</v>
      </c>
      <c r="K110" s="628">
        <v>372</v>
      </c>
      <c r="L110" s="628">
        <v>241</v>
      </c>
      <c r="M110" s="628">
        <v>450</v>
      </c>
      <c r="N110" s="104"/>
    </row>
    <row r="111" spans="1:14" ht="15.5">
      <c r="A111" s="79" t="s">
        <v>387</v>
      </c>
      <c r="D111" s="113">
        <v>4</v>
      </c>
      <c r="E111" s="113">
        <v>75</v>
      </c>
      <c r="F111" s="113">
        <v>17</v>
      </c>
      <c r="G111" s="113">
        <v>68</v>
      </c>
      <c r="H111" s="628">
        <v>19</v>
      </c>
      <c r="I111" s="628">
        <v>11</v>
      </c>
      <c r="J111" s="628">
        <v>23</v>
      </c>
      <c r="K111" s="628">
        <v>438</v>
      </c>
      <c r="L111" s="628">
        <v>475</v>
      </c>
      <c r="M111" s="628">
        <v>224</v>
      </c>
      <c r="N111" s="104"/>
    </row>
    <row r="112" spans="1:14" ht="15.5">
      <c r="A112" s="79" t="s">
        <v>685</v>
      </c>
      <c r="D112" s="113">
        <v>629</v>
      </c>
      <c r="E112" s="113">
        <v>330</v>
      </c>
      <c r="F112" s="113">
        <v>324</v>
      </c>
      <c r="G112" s="113">
        <v>683</v>
      </c>
      <c r="H112" s="628">
        <v>1030</v>
      </c>
      <c r="I112" s="628">
        <v>610</v>
      </c>
      <c r="J112" s="628">
        <v>977</v>
      </c>
      <c r="K112" s="628">
        <v>625</v>
      </c>
      <c r="L112" s="628">
        <v>843</v>
      </c>
      <c r="M112" s="628">
        <v>684</v>
      </c>
      <c r="N112" s="104"/>
    </row>
    <row r="113" spans="1:16" ht="15.5">
      <c r="A113" s="79" t="s">
        <v>385</v>
      </c>
      <c r="D113" s="113">
        <v>379</v>
      </c>
      <c r="E113" s="113">
        <v>648</v>
      </c>
      <c r="F113" s="113">
        <v>331</v>
      </c>
      <c r="G113" s="113">
        <v>586</v>
      </c>
      <c r="H113" s="628">
        <v>644</v>
      </c>
      <c r="I113" s="628">
        <v>862</v>
      </c>
      <c r="J113" s="628">
        <v>375</v>
      </c>
      <c r="K113" s="628">
        <v>256</v>
      </c>
      <c r="L113" s="628">
        <v>259</v>
      </c>
      <c r="M113" s="628">
        <v>191</v>
      </c>
      <c r="N113" s="104"/>
    </row>
    <row r="114" spans="1:16" ht="15.5">
      <c r="A114" s="79" t="s">
        <v>247</v>
      </c>
      <c r="D114" s="113">
        <v>483</v>
      </c>
      <c r="E114" s="113">
        <v>605</v>
      </c>
      <c r="F114" s="113">
        <v>514</v>
      </c>
      <c r="G114" s="113">
        <v>435</v>
      </c>
      <c r="H114" s="628">
        <v>640</v>
      </c>
      <c r="I114" s="628">
        <v>335</v>
      </c>
      <c r="J114" s="628">
        <v>740</v>
      </c>
      <c r="K114" s="628">
        <v>284</v>
      </c>
      <c r="L114" s="628">
        <v>471</v>
      </c>
      <c r="M114" s="628">
        <v>732</v>
      </c>
      <c r="N114" s="104"/>
    </row>
    <row r="115" spans="1:16" ht="15.5">
      <c r="A115" s="117" t="s">
        <v>251</v>
      </c>
      <c r="D115" s="113">
        <v>570</v>
      </c>
      <c r="E115" s="113">
        <v>708</v>
      </c>
      <c r="F115" s="113">
        <v>843</v>
      </c>
      <c r="G115" s="113">
        <v>1149</v>
      </c>
      <c r="H115" s="628">
        <v>1379</v>
      </c>
      <c r="I115" s="628">
        <v>1259</v>
      </c>
      <c r="J115" s="628">
        <v>1221</v>
      </c>
      <c r="K115" s="628">
        <v>1236</v>
      </c>
      <c r="L115" s="628">
        <v>1139</v>
      </c>
      <c r="M115" s="628">
        <v>1114</v>
      </c>
      <c r="N115" s="104"/>
    </row>
    <row r="116" spans="1:16" ht="26">
      <c r="A116" s="261" t="s">
        <v>686</v>
      </c>
      <c r="D116" s="114">
        <v>0</v>
      </c>
      <c r="E116" s="114">
        <v>0</v>
      </c>
      <c r="F116" s="114">
        <v>1</v>
      </c>
      <c r="G116" s="114">
        <v>1</v>
      </c>
      <c r="H116" s="114">
        <v>1</v>
      </c>
      <c r="I116" s="114">
        <v>1</v>
      </c>
      <c r="J116" s="114">
        <v>0</v>
      </c>
      <c r="K116" s="114">
        <v>1</v>
      </c>
      <c r="L116" s="114">
        <v>0</v>
      </c>
      <c r="M116" s="114">
        <v>0</v>
      </c>
      <c r="N116" s="104"/>
    </row>
    <row r="117" spans="1:16">
      <c r="A117" s="79"/>
      <c r="D117" s="105">
        <v>9917</v>
      </c>
      <c r="E117" s="105">
        <v>9652</v>
      </c>
      <c r="F117" s="105">
        <v>10206</v>
      </c>
      <c r="G117" s="105">
        <v>11405</v>
      </c>
      <c r="H117" s="105">
        <v>13571</v>
      </c>
      <c r="I117" s="105">
        <v>12130</v>
      </c>
      <c r="J117" s="105">
        <v>12153</v>
      </c>
      <c r="K117" s="105">
        <v>10709</v>
      </c>
      <c r="L117" s="105">
        <v>11538</v>
      </c>
      <c r="M117" s="105">
        <v>11989</v>
      </c>
      <c r="N117" s="104"/>
    </row>
    <row r="118" spans="1:16">
      <c r="A118" s="79"/>
      <c r="N118" s="104"/>
    </row>
    <row r="119" spans="1:16">
      <c r="A119" s="82" t="s">
        <v>252</v>
      </c>
      <c r="D119" s="112">
        <v>23551</v>
      </c>
      <c r="E119" s="112">
        <v>25173</v>
      </c>
      <c r="F119" s="112">
        <v>28707</v>
      </c>
      <c r="G119" s="112">
        <v>29375</v>
      </c>
      <c r="H119" s="112">
        <v>31780</v>
      </c>
      <c r="I119" s="112">
        <v>27886</v>
      </c>
      <c r="J119" s="112">
        <v>27960</v>
      </c>
      <c r="K119" s="112">
        <v>26497</v>
      </c>
      <c r="L119" s="112">
        <v>27931</v>
      </c>
      <c r="M119" s="112">
        <v>29232</v>
      </c>
      <c r="N119" s="104"/>
    </row>
    <row r="120" spans="1:16">
      <c r="A120" s="79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04"/>
    </row>
    <row r="121" spans="1:16">
      <c r="A121" s="73" t="s">
        <v>253</v>
      </c>
      <c r="D121" s="115">
        <v>40075</v>
      </c>
      <c r="E121" s="115">
        <v>42676</v>
      </c>
      <c r="F121" s="115">
        <v>45276</v>
      </c>
      <c r="G121" s="115">
        <v>47700</v>
      </c>
      <c r="H121" s="115">
        <v>49138</v>
      </c>
      <c r="I121" s="115">
        <v>45000</v>
      </c>
      <c r="J121" s="115">
        <v>45714</v>
      </c>
      <c r="K121" s="115">
        <v>46227</v>
      </c>
      <c r="L121" s="115">
        <v>48717</v>
      </c>
      <c r="M121" s="115">
        <v>51273</v>
      </c>
      <c r="N121" s="104"/>
    </row>
    <row r="123" spans="1:16" ht="15.5">
      <c r="A123" s="568" t="s">
        <v>254</v>
      </c>
      <c r="C123" s="88"/>
      <c r="D123" s="88"/>
      <c r="E123" s="88"/>
      <c r="F123" s="88"/>
      <c r="G123" s="831"/>
      <c r="H123" s="824"/>
      <c r="I123" s="824"/>
      <c r="J123" s="824"/>
      <c r="K123" s="824"/>
      <c r="L123" s="824"/>
      <c r="M123" s="824"/>
    </row>
    <row r="124" spans="1:16" ht="15.5">
      <c r="G124" s="625"/>
    </row>
    <row r="125" spans="1:16" s="130" customFormat="1" ht="70.5" customHeight="1">
      <c r="A125" s="566" t="s">
        <v>671</v>
      </c>
      <c r="B125" s="524"/>
      <c r="C125" s="72" t="s">
        <v>631</v>
      </c>
      <c r="D125" s="573" t="s">
        <v>738</v>
      </c>
      <c r="E125" s="72" t="s">
        <v>697</v>
      </c>
      <c r="F125" s="72" t="s">
        <v>737</v>
      </c>
      <c r="G125" s="72" t="s">
        <v>831</v>
      </c>
      <c r="H125" s="72" t="s">
        <v>851</v>
      </c>
      <c r="I125" s="72" t="s">
        <v>864</v>
      </c>
      <c r="J125" s="72" t="s">
        <v>865</v>
      </c>
      <c r="K125" s="72" t="s">
        <v>921</v>
      </c>
      <c r="L125" s="72" t="s">
        <v>966</v>
      </c>
      <c r="M125" s="72" t="s">
        <v>1021</v>
      </c>
    </row>
    <row r="126" spans="1:16">
      <c r="A126" s="558" t="s">
        <v>255</v>
      </c>
    </row>
    <row r="127" spans="1:16">
      <c r="A127" s="564" t="s">
        <v>394</v>
      </c>
      <c r="B127" s="525"/>
      <c r="C127" s="91">
        <v>597</v>
      </c>
      <c r="D127" s="91">
        <v>78</v>
      </c>
      <c r="E127" s="91">
        <v>862</v>
      </c>
      <c r="F127" s="91">
        <v>-729</v>
      </c>
      <c r="G127" s="91">
        <f>2526-571</f>
        <v>1955</v>
      </c>
      <c r="H127" s="91">
        <f>-224-680+571</f>
        <v>-333</v>
      </c>
      <c r="I127" s="91">
        <f>-19+405</f>
        <v>386</v>
      </c>
      <c r="J127" s="626">
        <f>1905-405</f>
        <v>1500</v>
      </c>
      <c r="K127" s="626">
        <v>2497</v>
      </c>
      <c r="L127" s="626">
        <v>1756</v>
      </c>
      <c r="M127" s="91">
        <v>2105</v>
      </c>
      <c r="N127" s="91"/>
      <c r="P127" s="91"/>
    </row>
    <row r="128" spans="1:16">
      <c r="A128" s="403" t="s">
        <v>687</v>
      </c>
      <c r="B128" s="525"/>
      <c r="C128" s="91">
        <v>-22</v>
      </c>
      <c r="D128" s="91">
        <v>-10</v>
      </c>
      <c r="E128" s="91">
        <v>-49</v>
      </c>
      <c r="F128" s="91">
        <v>-79</v>
      </c>
      <c r="G128" s="91">
        <v>-63</v>
      </c>
      <c r="H128" s="91">
        <v>550</v>
      </c>
      <c r="I128" s="91">
        <v>-15</v>
      </c>
      <c r="J128" s="626">
        <v>-69</v>
      </c>
      <c r="K128" s="626">
        <v>-22</v>
      </c>
      <c r="L128" s="626">
        <v>-35</v>
      </c>
      <c r="M128" s="91">
        <v>-38</v>
      </c>
      <c r="N128" s="91"/>
      <c r="P128" s="91"/>
    </row>
    <row r="129" spans="1:16">
      <c r="A129" s="403" t="s">
        <v>415</v>
      </c>
      <c r="B129" s="525"/>
      <c r="C129" s="91">
        <v>1056</v>
      </c>
      <c r="D129" s="91">
        <v>1045</v>
      </c>
      <c r="E129" s="91">
        <v>1099</v>
      </c>
      <c r="F129" s="91">
        <v>1117</v>
      </c>
      <c r="G129" s="91">
        <v>1086</v>
      </c>
      <c r="H129" s="91">
        <v>1140</v>
      </c>
      <c r="I129" s="91">
        <v>1203</v>
      </c>
      <c r="J129" s="626">
        <v>1146</v>
      </c>
      <c r="K129" s="626">
        <v>1270</v>
      </c>
      <c r="L129" s="626">
        <v>1217</v>
      </c>
      <c r="M129" s="626">
        <v>1351</v>
      </c>
      <c r="N129" s="91"/>
      <c r="P129" s="91"/>
    </row>
    <row r="130" spans="1:16">
      <c r="A130" s="403" t="s">
        <v>688</v>
      </c>
      <c r="B130" s="525"/>
      <c r="C130" s="91">
        <v>1115</v>
      </c>
      <c r="D130" s="91">
        <v>14</v>
      </c>
      <c r="E130" s="91">
        <v>85</v>
      </c>
      <c r="F130" s="91">
        <v>129</v>
      </c>
      <c r="G130" s="71">
        <v>1</v>
      </c>
      <c r="H130" s="71">
        <f>26-1</f>
        <v>25</v>
      </c>
      <c r="I130" s="71">
        <v>1644</v>
      </c>
      <c r="J130" s="626">
        <v>-95</v>
      </c>
      <c r="K130" s="626">
        <v>-1</v>
      </c>
      <c r="L130" s="626">
        <v>-38</v>
      </c>
      <c r="M130" s="120">
        <v>0</v>
      </c>
      <c r="N130" s="91"/>
      <c r="P130" s="91"/>
    </row>
    <row r="131" spans="1:16" ht="21.75" customHeight="1">
      <c r="A131" s="403" t="s">
        <v>735</v>
      </c>
      <c r="B131" s="525"/>
      <c r="C131" s="91"/>
      <c r="D131" s="91">
        <v>0</v>
      </c>
      <c r="E131" s="91"/>
      <c r="F131" s="91">
        <v>460</v>
      </c>
      <c r="G131" s="120">
        <v>0</v>
      </c>
      <c r="H131" s="120">
        <v>0</v>
      </c>
      <c r="I131" s="120">
        <v>0</v>
      </c>
      <c r="J131" s="120">
        <v>0</v>
      </c>
      <c r="K131" s="120">
        <v>0</v>
      </c>
      <c r="L131" s="120">
        <v>0</v>
      </c>
      <c r="M131" s="120">
        <v>0</v>
      </c>
      <c r="N131" s="91"/>
      <c r="P131" s="91"/>
    </row>
    <row r="132" spans="1:16">
      <c r="A132" s="403" t="s">
        <v>952</v>
      </c>
      <c r="B132" s="525"/>
      <c r="C132" s="91">
        <v>2</v>
      </c>
      <c r="D132" s="91">
        <v>-3</v>
      </c>
      <c r="E132" s="91">
        <v>20</v>
      </c>
      <c r="F132" s="91">
        <v>-6</v>
      </c>
      <c r="G132" s="91">
        <v>-14</v>
      </c>
      <c r="H132" s="91">
        <v>-137</v>
      </c>
      <c r="I132" s="91">
        <v>-90</v>
      </c>
      <c r="J132" s="626">
        <v>-32</v>
      </c>
      <c r="K132" s="626">
        <v>-33</v>
      </c>
      <c r="L132" s="626">
        <v>18</v>
      </c>
      <c r="M132" s="626">
        <v>-73</v>
      </c>
      <c r="N132" s="91"/>
      <c r="P132" s="91"/>
    </row>
    <row r="133" spans="1:16">
      <c r="A133" s="403" t="s">
        <v>953</v>
      </c>
      <c r="B133" s="525"/>
      <c r="C133" s="91">
        <v>-79</v>
      </c>
      <c r="D133" s="91">
        <v>69</v>
      </c>
      <c r="E133" s="91">
        <v>67</v>
      </c>
      <c r="F133" s="91">
        <v>35</v>
      </c>
      <c r="G133" s="91">
        <v>-237</v>
      </c>
      <c r="H133" s="91">
        <v>-93</v>
      </c>
      <c r="I133" s="91">
        <v>-31</v>
      </c>
      <c r="J133" s="626">
        <v>-36</v>
      </c>
      <c r="K133" s="626">
        <v>-20</v>
      </c>
      <c r="L133" s="626">
        <v>-9</v>
      </c>
      <c r="M133" s="626">
        <v>40</v>
      </c>
      <c r="N133" s="91"/>
      <c r="P133" s="91"/>
    </row>
    <row r="134" spans="1:16">
      <c r="A134" s="403" t="s">
        <v>416</v>
      </c>
      <c r="B134" s="525"/>
      <c r="C134" s="91">
        <v>180</v>
      </c>
      <c r="D134" s="91">
        <v>187</v>
      </c>
      <c r="E134" s="91">
        <v>258</v>
      </c>
      <c r="F134" s="91">
        <v>333</v>
      </c>
      <c r="G134" s="91">
        <v>437</v>
      </c>
      <c r="H134" s="91">
        <v>363</v>
      </c>
      <c r="I134" s="91">
        <v>343</v>
      </c>
      <c r="J134" s="626">
        <v>330</v>
      </c>
      <c r="K134" s="626">
        <v>345</v>
      </c>
      <c r="L134" s="626">
        <v>286</v>
      </c>
      <c r="M134" s="626">
        <v>275</v>
      </c>
      <c r="N134" s="91"/>
      <c r="P134" s="91"/>
    </row>
    <row r="135" spans="1:16">
      <c r="A135" s="403" t="s">
        <v>417</v>
      </c>
      <c r="B135" s="525"/>
      <c r="C135" s="91">
        <v>143</v>
      </c>
      <c r="D135" s="91">
        <v>-234</v>
      </c>
      <c r="E135" s="91">
        <v>-26</v>
      </c>
      <c r="F135" s="91">
        <v>225</v>
      </c>
      <c r="G135" s="91">
        <f>386-1</f>
        <v>385</v>
      </c>
      <c r="H135" s="91">
        <f>256+1</f>
        <v>257</v>
      </c>
      <c r="I135" s="91">
        <f>31+64</f>
        <v>95</v>
      </c>
      <c r="J135" s="626">
        <v>-373</v>
      </c>
      <c r="K135" s="626">
        <f>-70+6</f>
        <v>-64</v>
      </c>
      <c r="L135" s="626">
        <v>-120</v>
      </c>
      <c r="M135" s="626">
        <v>-26</v>
      </c>
      <c r="N135" s="91"/>
      <c r="P135" s="91"/>
    </row>
    <row r="136" spans="1:16">
      <c r="A136" s="403" t="s">
        <v>261</v>
      </c>
      <c r="B136" s="525"/>
      <c r="C136" s="91">
        <f>-23-31</f>
        <v>-54</v>
      </c>
      <c r="D136" s="91">
        <v>1263</v>
      </c>
      <c r="E136" s="91">
        <f>-10+6</f>
        <v>-4</v>
      </c>
      <c r="F136" s="91">
        <v>-482</v>
      </c>
      <c r="G136" s="91">
        <f>-1750+571</f>
        <v>-1179</v>
      </c>
      <c r="H136" s="91">
        <f>570+680-571</f>
        <v>679</v>
      </c>
      <c r="I136" s="91">
        <f>2076-405</f>
        <v>1671</v>
      </c>
      <c r="J136" s="626">
        <f>140+405</f>
        <v>545</v>
      </c>
      <c r="K136" s="626">
        <v>-868</v>
      </c>
      <c r="L136" s="626">
        <v>1126</v>
      </c>
      <c r="M136" s="626">
        <v>1702</v>
      </c>
      <c r="N136" s="91"/>
      <c r="P136" s="91"/>
    </row>
    <row r="137" spans="1:16">
      <c r="A137" s="403" t="s">
        <v>262</v>
      </c>
      <c r="B137" s="525"/>
      <c r="C137" s="91">
        <v>-399</v>
      </c>
      <c r="D137" s="91">
        <v>7</v>
      </c>
      <c r="E137" s="91">
        <v>-242</v>
      </c>
      <c r="F137" s="91">
        <v>-298</v>
      </c>
      <c r="G137" s="91">
        <v>-31</v>
      </c>
      <c r="H137" s="91">
        <v>-175</v>
      </c>
      <c r="I137" s="91">
        <v>-42</v>
      </c>
      <c r="J137" s="626">
        <v>-108</v>
      </c>
      <c r="K137" s="626">
        <v>-157</v>
      </c>
      <c r="L137" s="626">
        <v>-167</v>
      </c>
      <c r="M137" s="626">
        <v>-569</v>
      </c>
      <c r="N137" s="91"/>
      <c r="P137" s="91"/>
    </row>
    <row r="138" spans="1:16" s="102" customFormat="1">
      <c r="A138" s="565" t="s">
        <v>389</v>
      </c>
      <c r="B138" s="526"/>
      <c r="C138" s="132">
        <f>SUM(C127:C137)</f>
        <v>2539</v>
      </c>
      <c r="D138" s="132">
        <v>2416</v>
      </c>
      <c r="E138" s="132">
        <f>SUM(E127:E137)</f>
        <v>2070</v>
      </c>
      <c r="F138" s="132">
        <f>SUM(F127:F137)</f>
        <v>705</v>
      </c>
      <c r="G138" s="132">
        <v>2340</v>
      </c>
      <c r="H138" s="132">
        <v>2276</v>
      </c>
      <c r="I138" s="132">
        <v>5164</v>
      </c>
      <c r="J138" s="132">
        <v>2808</v>
      </c>
      <c r="K138" s="102">
        <v>2947</v>
      </c>
      <c r="L138" s="102">
        <v>4034</v>
      </c>
      <c r="M138" s="102">
        <v>4767</v>
      </c>
      <c r="N138" s="91"/>
      <c r="O138" s="71"/>
      <c r="P138" s="91"/>
    </row>
    <row r="139" spans="1:16">
      <c r="A139" s="564" t="s">
        <v>264</v>
      </c>
      <c r="H139" s="626"/>
      <c r="I139" s="10"/>
      <c r="J139" s="626"/>
      <c r="K139" s="626"/>
      <c r="L139" s="626"/>
      <c r="M139" s="91"/>
      <c r="N139" s="91"/>
      <c r="P139" s="91"/>
    </row>
    <row r="140" spans="1:16" ht="25">
      <c r="A140" s="266" t="s">
        <v>395</v>
      </c>
      <c r="C140" s="74">
        <v>-1674</v>
      </c>
      <c r="D140" s="74">
        <v>-1581</v>
      </c>
      <c r="E140" s="74">
        <v>-1715</v>
      </c>
      <c r="F140" s="74">
        <v>-2164</v>
      </c>
      <c r="G140" s="74">
        <v>-2100</v>
      </c>
      <c r="H140" s="74">
        <v>-2741</v>
      </c>
      <c r="I140" s="74">
        <v>-2106</v>
      </c>
      <c r="J140" s="626">
        <v>-2635</v>
      </c>
      <c r="K140" s="626">
        <v>-2688</v>
      </c>
      <c r="L140" s="626">
        <v>-3349</v>
      </c>
      <c r="M140" s="626">
        <v>-2743</v>
      </c>
      <c r="N140" s="91"/>
      <c r="P140" s="91"/>
    </row>
    <row r="141" spans="1:16">
      <c r="A141" s="403" t="s">
        <v>396</v>
      </c>
      <c r="C141" s="74">
        <v>-10</v>
      </c>
      <c r="D141" s="74">
        <v>-18</v>
      </c>
      <c r="E141" s="74">
        <v>-22</v>
      </c>
      <c r="F141" s="74">
        <v>-6</v>
      </c>
      <c r="G141" s="74">
        <v>-6</v>
      </c>
      <c r="H141" s="74">
        <v>-10</v>
      </c>
      <c r="I141" s="74">
        <v>-1</v>
      </c>
      <c r="J141" s="626">
        <v>-4</v>
      </c>
      <c r="K141" s="626">
        <v>-2</v>
      </c>
      <c r="L141" s="626">
        <v>-1</v>
      </c>
      <c r="M141" s="120">
        <v>0</v>
      </c>
      <c r="N141" s="91"/>
      <c r="P141" s="91"/>
    </row>
    <row r="142" spans="1:16">
      <c r="A142" s="403" t="s">
        <v>397</v>
      </c>
      <c r="C142" s="74">
        <v>-1</v>
      </c>
      <c r="D142" s="120">
        <v>0</v>
      </c>
      <c r="E142" s="74">
        <v>-120</v>
      </c>
      <c r="F142" s="120">
        <v>0</v>
      </c>
      <c r="G142" s="91">
        <v>-1</v>
      </c>
      <c r="H142" s="74">
        <v>1</v>
      </c>
      <c r="I142" s="120">
        <v>0</v>
      </c>
      <c r="J142" s="120">
        <v>0</v>
      </c>
      <c r="K142" s="120">
        <v>0</v>
      </c>
      <c r="L142" s="120">
        <v>0</v>
      </c>
      <c r="M142" s="120">
        <v>0</v>
      </c>
      <c r="N142" s="91"/>
      <c r="P142" s="91"/>
    </row>
    <row r="143" spans="1:16">
      <c r="A143" s="403" t="s">
        <v>748</v>
      </c>
      <c r="C143" s="120">
        <v>0</v>
      </c>
      <c r="D143" s="120">
        <v>0</v>
      </c>
      <c r="E143" s="120">
        <v>0</v>
      </c>
      <c r="F143" s="74">
        <v>-216</v>
      </c>
      <c r="G143" s="120">
        <v>0</v>
      </c>
      <c r="H143" s="120">
        <v>0</v>
      </c>
      <c r="I143" s="120">
        <v>0</v>
      </c>
      <c r="J143" s="120">
        <v>0</v>
      </c>
      <c r="K143" s="120">
        <v>0</v>
      </c>
      <c r="L143" s="120">
        <v>0</v>
      </c>
      <c r="M143" s="120">
        <v>0</v>
      </c>
      <c r="N143" s="91"/>
      <c r="P143" s="91"/>
    </row>
    <row r="144" spans="1:16">
      <c r="A144" s="403" t="s">
        <v>739</v>
      </c>
      <c r="C144" s="120">
        <v>0</v>
      </c>
      <c r="D144" s="120">
        <v>0</v>
      </c>
      <c r="E144" s="120">
        <v>0</v>
      </c>
      <c r="F144" s="74">
        <v>-14</v>
      </c>
      <c r="G144" s="120">
        <v>0</v>
      </c>
      <c r="H144" s="120">
        <v>0</v>
      </c>
      <c r="I144" s="120">
        <v>0</v>
      </c>
      <c r="J144" s="120">
        <v>0</v>
      </c>
      <c r="K144" s="120">
        <v>0</v>
      </c>
      <c r="L144" s="74">
        <v>-3</v>
      </c>
      <c r="M144" s="120">
        <v>0</v>
      </c>
      <c r="N144" s="91"/>
      <c r="P144" s="91"/>
    </row>
    <row r="145" spans="1:16">
      <c r="A145" s="563" t="s">
        <v>265</v>
      </c>
      <c r="C145" s="77">
        <v>-1685</v>
      </c>
      <c r="D145" s="77">
        <v>-1599</v>
      </c>
      <c r="E145" s="77">
        <v>-1857</v>
      </c>
      <c r="F145" s="77">
        <v>-2400</v>
      </c>
      <c r="G145" s="77">
        <v>-2107</v>
      </c>
      <c r="H145" s="77">
        <v>-2750</v>
      </c>
      <c r="I145" s="77">
        <v>-2107</v>
      </c>
      <c r="J145" s="626">
        <v>-2639</v>
      </c>
      <c r="K145" s="626">
        <v>-2690</v>
      </c>
      <c r="L145" s="626">
        <v>-3353</v>
      </c>
      <c r="M145" s="626">
        <v>-2743</v>
      </c>
      <c r="N145" s="91"/>
      <c r="P145" s="91"/>
    </row>
    <row r="146" spans="1:16" ht="25">
      <c r="A146" s="266" t="s">
        <v>410</v>
      </c>
      <c r="C146" s="74">
        <v>23</v>
      </c>
      <c r="D146" s="74">
        <v>53</v>
      </c>
      <c r="E146" s="74">
        <v>14</v>
      </c>
      <c r="F146" s="74">
        <v>14</v>
      </c>
      <c r="G146" s="74">
        <v>11</v>
      </c>
      <c r="H146" s="74">
        <v>52</v>
      </c>
      <c r="I146" s="74">
        <v>14</v>
      </c>
      <c r="J146" s="626">
        <v>11</v>
      </c>
      <c r="K146" s="626">
        <v>7</v>
      </c>
      <c r="L146" s="626">
        <v>20</v>
      </c>
      <c r="M146" s="626">
        <v>11</v>
      </c>
      <c r="N146" s="91"/>
      <c r="P146" s="91"/>
    </row>
    <row r="147" spans="1:16">
      <c r="A147" s="403" t="s">
        <v>400</v>
      </c>
      <c r="C147" s="120">
        <v>0</v>
      </c>
      <c r="D147" s="74">
        <v>47</v>
      </c>
      <c r="E147" s="74"/>
      <c r="F147" s="74">
        <v>72</v>
      </c>
      <c r="G147" s="120">
        <v>0</v>
      </c>
      <c r="H147" s="120">
        <v>0</v>
      </c>
      <c r="I147" s="120">
        <v>0</v>
      </c>
      <c r="J147" s="626">
        <v>2</v>
      </c>
      <c r="K147" s="626">
        <v>0</v>
      </c>
      <c r="L147" s="626">
        <v>42</v>
      </c>
      <c r="M147" s="120">
        <v>0</v>
      </c>
      <c r="N147" s="91"/>
      <c r="P147" s="91"/>
    </row>
    <row r="148" spans="1:16">
      <c r="A148" s="403" t="s">
        <v>401</v>
      </c>
      <c r="C148" s="91">
        <v>66</v>
      </c>
      <c r="D148" s="91">
        <v>-8</v>
      </c>
      <c r="E148" s="91">
        <v>2</v>
      </c>
      <c r="F148" s="91">
        <v>179</v>
      </c>
      <c r="G148" s="91">
        <v>2</v>
      </c>
      <c r="H148" s="91">
        <v>-2</v>
      </c>
      <c r="I148" s="91">
        <v>41</v>
      </c>
      <c r="J148" s="626">
        <f>3-2+38</f>
        <v>39</v>
      </c>
      <c r="K148" s="626">
        <v>59</v>
      </c>
      <c r="L148" s="626">
        <v>85</v>
      </c>
      <c r="M148" s="626">
        <v>124</v>
      </c>
      <c r="N148" s="91"/>
      <c r="P148" s="91"/>
    </row>
    <row r="149" spans="1:16">
      <c r="A149" s="563" t="s">
        <v>266</v>
      </c>
      <c r="C149" s="131">
        <v>89</v>
      </c>
      <c r="D149" s="131">
        <v>92</v>
      </c>
      <c r="E149" s="131">
        <v>16</v>
      </c>
      <c r="F149" s="131">
        <v>265</v>
      </c>
      <c r="G149" s="131">
        <v>13</v>
      </c>
      <c r="H149" s="131">
        <v>50</v>
      </c>
      <c r="I149" s="131">
        <v>55</v>
      </c>
      <c r="J149" s="626">
        <f>14+38</f>
        <v>52</v>
      </c>
      <c r="K149" s="626">
        <v>66</v>
      </c>
      <c r="L149" s="626">
        <v>147</v>
      </c>
      <c r="M149" s="626">
        <v>135</v>
      </c>
      <c r="N149" s="91"/>
      <c r="P149" s="91"/>
    </row>
    <row r="150" spans="1:16" s="102" customFormat="1">
      <c r="A150" s="565" t="s">
        <v>402</v>
      </c>
      <c r="B150" s="526"/>
      <c r="C150" s="100">
        <v>-1596</v>
      </c>
      <c r="D150" s="100">
        <v>-1507</v>
      </c>
      <c r="E150" s="100">
        <v>-1841</v>
      </c>
      <c r="F150" s="100">
        <v>-2135</v>
      </c>
      <c r="G150" s="100">
        <v>-2094</v>
      </c>
      <c r="H150" s="100">
        <v>-2700</v>
      </c>
      <c r="I150" s="100">
        <v>-2052</v>
      </c>
      <c r="J150" s="100">
        <f>-2625+38</f>
        <v>-2587</v>
      </c>
      <c r="K150" s="100">
        <v>-2624</v>
      </c>
      <c r="L150" s="100">
        <v>-3206</v>
      </c>
      <c r="M150" s="100">
        <v>-2608</v>
      </c>
      <c r="N150" s="91"/>
      <c r="O150" s="71"/>
      <c r="P150" s="91"/>
    </row>
    <row r="151" spans="1:16">
      <c r="A151" s="564" t="s">
        <v>268</v>
      </c>
      <c r="H151" s="10"/>
      <c r="I151" s="10"/>
      <c r="J151" s="626"/>
      <c r="K151" s="626"/>
      <c r="L151" s="626"/>
      <c r="M151" s="91"/>
      <c r="N151" s="91"/>
      <c r="P151" s="91"/>
    </row>
    <row r="152" spans="1:16">
      <c r="A152" s="403" t="s">
        <v>399</v>
      </c>
      <c r="C152" s="120">
        <v>0</v>
      </c>
      <c r="D152" s="74">
        <v>-170</v>
      </c>
      <c r="E152" s="120">
        <v>0</v>
      </c>
      <c r="F152" s="74">
        <v>-170</v>
      </c>
      <c r="H152" s="74">
        <v>-170</v>
      </c>
      <c r="I152" s="120">
        <v>0</v>
      </c>
      <c r="J152" s="626">
        <v>-982</v>
      </c>
      <c r="K152" s="120">
        <v>0</v>
      </c>
      <c r="L152" s="626">
        <v>-1750</v>
      </c>
      <c r="M152" s="91">
        <v>-400</v>
      </c>
      <c r="N152" s="91"/>
      <c r="P152" s="91"/>
    </row>
    <row r="153" spans="1:16">
      <c r="A153" s="403" t="s">
        <v>403</v>
      </c>
      <c r="C153" s="74">
        <v>-1808</v>
      </c>
      <c r="D153" s="74">
        <v>-1658</v>
      </c>
      <c r="E153" s="74">
        <v>-3109</v>
      </c>
      <c r="F153" s="74">
        <v>-2958</v>
      </c>
      <c r="G153" s="74">
        <v>-4199</v>
      </c>
      <c r="H153" s="74">
        <v>-2559</v>
      </c>
      <c r="I153" s="74">
        <v>-3769</v>
      </c>
      <c r="J153" s="626">
        <v>-5305</v>
      </c>
      <c r="K153" s="626">
        <v>-2876</v>
      </c>
      <c r="L153" s="626">
        <v>-471</v>
      </c>
      <c r="M153" s="91">
        <v>-128</v>
      </c>
      <c r="N153" s="91"/>
      <c r="P153" s="91"/>
    </row>
    <row r="154" spans="1:16">
      <c r="A154" s="403" t="s">
        <v>936</v>
      </c>
      <c r="C154" s="74"/>
      <c r="D154" s="120">
        <v>0</v>
      </c>
      <c r="E154" s="74"/>
      <c r="F154" s="74">
        <v>-1061</v>
      </c>
      <c r="G154" s="120">
        <v>0</v>
      </c>
      <c r="H154" s="120">
        <v>0</v>
      </c>
      <c r="I154" s="120">
        <v>0</v>
      </c>
      <c r="J154" s="120">
        <v>0</v>
      </c>
      <c r="K154" s="626">
        <v>-37</v>
      </c>
      <c r="L154" s="120">
        <v>0</v>
      </c>
      <c r="M154" s="120">
        <v>0</v>
      </c>
      <c r="N154" s="91"/>
      <c r="P154" s="91"/>
    </row>
    <row r="155" spans="1:16">
      <c r="A155" s="403" t="s">
        <v>404</v>
      </c>
      <c r="C155" s="74">
        <v>-91</v>
      </c>
      <c r="D155" s="74">
        <v>-252</v>
      </c>
      <c r="E155" s="74">
        <v>-114</v>
      </c>
      <c r="F155" s="74">
        <v>-386</v>
      </c>
      <c r="G155" s="74">
        <v>-314</v>
      </c>
      <c r="H155" s="74">
        <v>-383</v>
      </c>
      <c r="I155" s="74">
        <v>-238</v>
      </c>
      <c r="J155" s="626">
        <v>-349</v>
      </c>
      <c r="K155" s="626">
        <v>-223</v>
      </c>
      <c r="L155" s="626">
        <v>-318</v>
      </c>
      <c r="M155" s="91">
        <v>-172</v>
      </c>
      <c r="N155" s="91"/>
      <c r="P155" s="91"/>
    </row>
    <row r="156" spans="1:16">
      <c r="A156" s="403" t="s">
        <v>690</v>
      </c>
      <c r="C156" s="74">
        <v>-83</v>
      </c>
      <c r="D156" s="74">
        <v>-34</v>
      </c>
      <c r="E156" s="74">
        <v>-91</v>
      </c>
      <c r="F156" s="74">
        <v>-35</v>
      </c>
      <c r="G156" s="74">
        <v>-82</v>
      </c>
      <c r="H156" s="74">
        <v>-23</v>
      </c>
      <c r="I156" s="74">
        <v>-96</v>
      </c>
      <c r="J156" s="626">
        <v>-26</v>
      </c>
      <c r="K156" s="626">
        <v>-106</v>
      </c>
      <c r="L156" s="626">
        <v>-27</v>
      </c>
      <c r="M156" s="91">
        <v>-116</v>
      </c>
      <c r="N156" s="91"/>
      <c r="P156" s="91"/>
    </row>
    <row r="157" spans="1:16">
      <c r="A157" s="403" t="s">
        <v>398</v>
      </c>
      <c r="C157" s="74">
        <v>-10</v>
      </c>
      <c r="D157" s="74">
        <v>-14</v>
      </c>
      <c r="E157" s="74">
        <f>-9</f>
        <v>-9</v>
      </c>
      <c r="F157" s="74">
        <v>-27</v>
      </c>
      <c r="G157" s="74">
        <v>-2</v>
      </c>
      <c r="H157" s="74">
        <v>-6</v>
      </c>
      <c r="I157" s="74">
        <v>-7</v>
      </c>
      <c r="J157" s="626">
        <v>-14</v>
      </c>
      <c r="K157" s="626">
        <f>-10</f>
        <v>-10</v>
      </c>
      <c r="L157" s="626">
        <v>-12</v>
      </c>
      <c r="M157" s="91">
        <v>-11</v>
      </c>
      <c r="N157" s="91"/>
      <c r="P157" s="91"/>
    </row>
    <row r="158" spans="1:16">
      <c r="A158" s="563" t="s">
        <v>265</v>
      </c>
      <c r="C158" s="77">
        <v>-1992</v>
      </c>
      <c r="D158" s="77">
        <v>-2128</v>
      </c>
      <c r="E158" s="77">
        <v>-4384</v>
      </c>
      <c r="F158" s="74">
        <v>-3576</v>
      </c>
      <c r="G158" s="74">
        <v>-4597</v>
      </c>
      <c r="H158" s="74">
        <v>-3141</v>
      </c>
      <c r="I158" s="74">
        <v>-4110</v>
      </c>
      <c r="J158" s="626">
        <v>-6676</v>
      </c>
      <c r="K158" s="626">
        <v>-3252</v>
      </c>
      <c r="L158" s="626">
        <v>-2578</v>
      </c>
      <c r="M158" s="91">
        <v>-827</v>
      </c>
      <c r="N158" s="91"/>
      <c r="P158" s="91"/>
    </row>
    <row r="159" spans="1:16">
      <c r="A159" s="403" t="s">
        <v>405</v>
      </c>
      <c r="C159" s="74">
        <v>603</v>
      </c>
      <c r="D159" s="74">
        <v>1400</v>
      </c>
      <c r="E159" s="71">
        <v>4196</v>
      </c>
      <c r="F159" s="74">
        <v>5244</v>
      </c>
      <c r="G159" s="71">
        <v>4394</v>
      </c>
      <c r="H159" s="74">
        <v>3588</v>
      </c>
      <c r="I159" s="10">
        <v>422</v>
      </c>
      <c r="J159" s="626">
        <v>6540</v>
      </c>
      <c r="K159" s="626">
        <v>2521</v>
      </c>
      <c r="L159" s="626">
        <v>1856</v>
      </c>
      <c r="M159" s="91">
        <v>978</v>
      </c>
      <c r="N159" s="91"/>
      <c r="P159" s="91"/>
    </row>
    <row r="160" spans="1:16">
      <c r="A160" s="403" t="s">
        <v>406</v>
      </c>
      <c r="C160" s="74">
        <v>56</v>
      </c>
      <c r="D160" s="74">
        <v>58</v>
      </c>
      <c r="E160" s="71">
        <v>20</v>
      </c>
      <c r="F160" s="74">
        <v>18</v>
      </c>
      <c r="G160" s="71">
        <v>13</v>
      </c>
      <c r="H160" s="74">
        <v>23</v>
      </c>
      <c r="I160" s="120">
        <v>0</v>
      </c>
      <c r="J160" s="626">
        <v>0</v>
      </c>
      <c r="K160" s="120">
        <v>0</v>
      </c>
      <c r="L160" s="120">
        <v>0</v>
      </c>
      <c r="M160" s="120">
        <v>0</v>
      </c>
      <c r="N160" s="91"/>
      <c r="P160" s="91"/>
    </row>
    <row r="161" spans="1:16">
      <c r="A161" s="403" t="s">
        <v>428</v>
      </c>
      <c r="C161" s="120">
        <v>0</v>
      </c>
      <c r="D161" s="120">
        <v>0</v>
      </c>
      <c r="E161" s="120">
        <v>0</v>
      </c>
      <c r="F161" s="120">
        <v>0</v>
      </c>
      <c r="G161" s="120">
        <v>0</v>
      </c>
      <c r="H161" s="120">
        <v>0</v>
      </c>
      <c r="I161" s="120">
        <v>0</v>
      </c>
      <c r="J161" s="120">
        <v>0</v>
      </c>
      <c r="K161" s="120">
        <v>0</v>
      </c>
      <c r="L161" s="120">
        <v>0</v>
      </c>
      <c r="M161" s="120">
        <v>0</v>
      </c>
      <c r="N161" s="91"/>
      <c r="P161" s="91"/>
    </row>
    <row r="162" spans="1:16">
      <c r="A162" s="403" t="s">
        <v>807</v>
      </c>
      <c r="C162" s="120"/>
      <c r="D162" s="120"/>
      <c r="E162" s="120"/>
      <c r="F162" s="120"/>
      <c r="G162" s="120"/>
      <c r="H162" s="74">
        <v>6</v>
      </c>
      <c r="I162" s="120">
        <v>0</v>
      </c>
      <c r="J162" s="120">
        <v>0</v>
      </c>
      <c r="K162" s="626">
        <v>65</v>
      </c>
      <c r="L162" s="120">
        <v>0</v>
      </c>
      <c r="M162" s="626">
        <v>27</v>
      </c>
      <c r="N162" s="91"/>
      <c r="P162" s="91"/>
    </row>
    <row r="163" spans="1:16">
      <c r="A163" s="563" t="s">
        <v>266</v>
      </c>
      <c r="C163" s="77">
        <v>659</v>
      </c>
      <c r="D163" s="77">
        <v>1458</v>
      </c>
      <c r="E163" s="77">
        <v>4216</v>
      </c>
      <c r="F163" s="74">
        <v>5262</v>
      </c>
      <c r="G163" s="74">
        <v>4407</v>
      </c>
      <c r="H163" s="74">
        <v>3617</v>
      </c>
      <c r="I163" s="74">
        <v>422</v>
      </c>
      <c r="J163" s="626">
        <f>6578-38</f>
        <v>6540</v>
      </c>
      <c r="K163" s="626">
        <v>2586</v>
      </c>
      <c r="L163" s="626">
        <v>1856</v>
      </c>
      <c r="M163" s="626">
        <v>1005</v>
      </c>
      <c r="N163" s="91"/>
      <c r="P163" s="91"/>
    </row>
    <row r="164" spans="1:16">
      <c r="A164" s="563" t="s">
        <v>391</v>
      </c>
      <c r="C164" s="133">
        <v>-1333</v>
      </c>
      <c r="D164" s="133">
        <v>-670</v>
      </c>
      <c r="E164" s="133">
        <v>-168</v>
      </c>
      <c r="F164" s="74">
        <v>1686</v>
      </c>
      <c r="G164" s="74">
        <v>-190</v>
      </c>
      <c r="H164" s="74">
        <v>476</v>
      </c>
      <c r="I164" s="74">
        <v>-3688</v>
      </c>
      <c r="J164" s="74">
        <f>-98-38</f>
        <v>-136</v>
      </c>
      <c r="K164" s="626">
        <v>-666</v>
      </c>
      <c r="L164" s="626">
        <v>-722</v>
      </c>
      <c r="M164" s="626">
        <v>178</v>
      </c>
      <c r="N164" s="91"/>
      <c r="P164" s="91"/>
    </row>
    <row r="165" spans="1:16" s="102" customFormat="1" ht="28.4" customHeight="1">
      <c r="A165" s="267" t="s">
        <v>392</v>
      </c>
      <c r="B165" s="526"/>
      <c r="C165" s="100">
        <f>C164+C150+C138</f>
        <v>-390</v>
      </c>
      <c r="D165" s="100">
        <v>239</v>
      </c>
      <c r="E165" s="100">
        <f>E164+E150+E138</f>
        <v>61</v>
      </c>
      <c r="F165" s="100">
        <f>F164+F150+F138</f>
        <v>256</v>
      </c>
      <c r="G165" s="100">
        <v>56</v>
      </c>
      <c r="H165" s="100">
        <v>52</v>
      </c>
      <c r="I165" s="100">
        <v>-576</v>
      </c>
      <c r="J165" s="100">
        <v>85</v>
      </c>
      <c r="K165" s="100">
        <v>-343</v>
      </c>
      <c r="L165" s="100">
        <v>106</v>
      </c>
      <c r="M165" s="100">
        <v>2337</v>
      </c>
      <c r="N165" s="91"/>
      <c r="O165" s="71"/>
      <c r="P165" s="91"/>
    </row>
    <row r="166" spans="1:16" ht="15.5">
      <c r="A166" s="403" t="s">
        <v>407</v>
      </c>
      <c r="C166" s="74">
        <v>-2</v>
      </c>
      <c r="D166" s="74">
        <v>-1</v>
      </c>
      <c r="E166" s="74">
        <v>1</v>
      </c>
      <c r="F166" s="74">
        <v>-25</v>
      </c>
      <c r="G166" s="71">
        <v>25</v>
      </c>
      <c r="H166" s="74">
        <v>0</v>
      </c>
      <c r="I166" s="74">
        <v>-1</v>
      </c>
      <c r="J166" s="74">
        <v>1</v>
      </c>
      <c r="K166" s="74">
        <v>-1</v>
      </c>
      <c r="L166" s="724">
        <v>0</v>
      </c>
      <c r="M166" s="724">
        <v>0</v>
      </c>
      <c r="N166" s="91"/>
      <c r="P166" s="91"/>
    </row>
    <row r="167" spans="1:16">
      <c r="A167" s="563" t="s">
        <v>274</v>
      </c>
      <c r="C167" s="91">
        <f>895-121</f>
        <v>774</v>
      </c>
      <c r="D167" s="91">
        <v>384</v>
      </c>
      <c r="E167" s="91">
        <f>623</f>
        <v>623</v>
      </c>
      <c r="F167" s="91">
        <f>846-162</f>
        <v>684</v>
      </c>
      <c r="G167" s="91">
        <f>F168</f>
        <v>940</v>
      </c>
      <c r="H167" s="10">
        <f>G168</f>
        <v>996</v>
      </c>
      <c r="I167" s="71">
        <v>1048</v>
      </c>
      <c r="J167" s="71">
        <v>472</v>
      </c>
      <c r="K167" s="71">
        <v>557</v>
      </c>
      <c r="L167" s="71">
        <v>214</v>
      </c>
      <c r="M167" s="71">
        <v>320</v>
      </c>
    </row>
    <row r="168" spans="1:16">
      <c r="A168" s="75" t="s">
        <v>393</v>
      </c>
      <c r="C168" s="74">
        <f>536-152</f>
        <v>384</v>
      </c>
      <c r="D168" s="74">
        <v>623</v>
      </c>
      <c r="E168" s="74">
        <f>846-162</f>
        <v>684</v>
      </c>
      <c r="F168" s="74">
        <v>940</v>
      </c>
      <c r="G168" s="71">
        <v>996</v>
      </c>
      <c r="H168" s="10">
        <v>1048</v>
      </c>
      <c r="I168" s="71">
        <v>472</v>
      </c>
      <c r="J168" s="71">
        <v>557</v>
      </c>
      <c r="K168" s="71">
        <v>214</v>
      </c>
      <c r="L168" s="71">
        <v>320</v>
      </c>
      <c r="M168" s="71">
        <v>2657</v>
      </c>
    </row>
    <row r="169" spans="1:16" s="130" customFormat="1">
      <c r="A169" s="562" t="s">
        <v>408</v>
      </c>
      <c r="B169" s="524"/>
      <c r="C169" s="576">
        <f>231-152</f>
        <v>79</v>
      </c>
      <c r="D169" s="576">
        <v>146</v>
      </c>
      <c r="E169" s="576">
        <f>267-162</f>
        <v>105</v>
      </c>
      <c r="F169" s="576">
        <v>322</v>
      </c>
      <c r="G169" s="576">
        <v>290</v>
      </c>
      <c r="H169" s="130">
        <v>372</v>
      </c>
      <c r="I169" s="130">
        <v>184</v>
      </c>
      <c r="J169" s="130">
        <v>268</v>
      </c>
      <c r="K169" s="130">
        <v>203</v>
      </c>
      <c r="L169" s="130">
        <v>232</v>
      </c>
      <c r="M169" s="130">
        <v>295</v>
      </c>
    </row>
    <row r="170" spans="1:16">
      <c r="H170" s="10"/>
      <c r="I170" s="10"/>
      <c r="J170" s="10"/>
      <c r="K170" s="10"/>
    </row>
    <row r="171" spans="1:16">
      <c r="F171" s="91"/>
      <c r="G171" s="91"/>
      <c r="H171" s="10"/>
      <c r="I171" s="10"/>
      <c r="J171" s="10"/>
      <c r="K171" s="10"/>
    </row>
    <row r="172" spans="1:16">
      <c r="C172" s="91"/>
      <c r="D172" s="91"/>
      <c r="E172" s="91"/>
      <c r="F172" s="91"/>
      <c r="G172" s="91"/>
      <c r="H172" s="91"/>
      <c r="I172" s="91"/>
      <c r="J172" s="91"/>
      <c r="M172" s="91"/>
    </row>
    <row r="173" spans="1:16">
      <c r="C173" s="91"/>
      <c r="D173" s="91"/>
      <c r="G173" s="91"/>
      <c r="H173" s="91"/>
      <c r="I173" s="91"/>
      <c r="J173" s="91"/>
      <c r="K173" s="10"/>
    </row>
    <row r="174" spans="1:16">
      <c r="C174" s="91"/>
      <c r="D174" s="91"/>
      <c r="G174" s="91"/>
      <c r="H174" s="91"/>
      <c r="I174" s="91"/>
      <c r="J174" s="91"/>
    </row>
    <row r="175" spans="1:16">
      <c r="C175" s="91"/>
      <c r="D175" s="91"/>
    </row>
  </sheetData>
  <mergeCells count="4">
    <mergeCell ref="E2:F2"/>
    <mergeCell ref="G2:M2"/>
    <mergeCell ref="F47:M47"/>
    <mergeCell ref="G123:M123"/>
  </mergeCells>
  <pageMargins left="0.70866141732283472" right="0.70866141732283472" top="0.74803149606299213" bottom="0.74803149606299213" header="0.31496062992125984" footer="0.31496062992125984"/>
  <pageSetup paperSize="9" scale="16" fitToHeight="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tabColor theme="8" tint="-0.499984740745262"/>
    <pageSetUpPr fitToPage="1"/>
  </sheetPr>
  <dimension ref="A1:AW171"/>
  <sheetViews>
    <sheetView workbookViewId="0">
      <selection activeCell="F11" sqref="F11"/>
    </sheetView>
  </sheetViews>
  <sheetFormatPr defaultColWidth="12.453125" defaultRowHeight="14.5"/>
  <cols>
    <col min="1" max="1" width="101.453125" style="71" customWidth="1"/>
    <col min="2" max="2" width="4" style="536" customWidth="1"/>
    <col min="3" max="3" width="19.81640625" style="71" customWidth="1"/>
    <col min="4" max="4" width="15.1796875" style="71" customWidth="1"/>
    <col min="5" max="5" width="20" style="71" customWidth="1"/>
    <col min="6" max="6" width="19.81640625" style="71" customWidth="1"/>
    <col min="7" max="7" width="19.54296875" style="71" customWidth="1"/>
    <col min="8" max="8" width="14.54296875" style="71" customWidth="1"/>
    <col min="9" max="16384" width="12.453125" style="71"/>
  </cols>
  <sheetData>
    <row r="1" spans="1:11" ht="20">
      <c r="A1" s="70" t="s">
        <v>411</v>
      </c>
    </row>
    <row r="2" spans="1:11" ht="15.5">
      <c r="A2" s="88" t="s">
        <v>374</v>
      </c>
      <c r="B2" s="537"/>
      <c r="C2" s="832" t="s">
        <v>657</v>
      </c>
      <c r="D2" s="833"/>
      <c r="E2" s="828"/>
      <c r="F2" s="828"/>
      <c r="G2" s="828"/>
      <c r="H2" s="828"/>
    </row>
    <row r="3" spans="1:11" ht="89">
      <c r="A3" s="569" t="s">
        <v>671</v>
      </c>
      <c r="B3" s="538"/>
      <c r="C3" s="72" t="s">
        <v>656</v>
      </c>
      <c r="D3" s="72" t="s">
        <v>733</v>
      </c>
      <c r="E3" s="72" t="s">
        <v>732</v>
      </c>
      <c r="F3" s="664" t="s">
        <v>849</v>
      </c>
      <c r="G3" s="67" t="s">
        <v>972</v>
      </c>
      <c r="H3" s="72" t="s">
        <v>964</v>
      </c>
    </row>
    <row r="4" spans="1:11">
      <c r="A4" s="117"/>
    </row>
    <row r="5" spans="1:11">
      <c r="A5" s="79" t="s">
        <v>561</v>
      </c>
      <c r="B5" s="531"/>
      <c r="C5" s="74">
        <v>20850</v>
      </c>
      <c r="D5" s="74">
        <v>25164</v>
      </c>
      <c r="E5" s="74">
        <v>36311</v>
      </c>
      <c r="F5" s="74">
        <v>41977</v>
      </c>
      <c r="G5" s="74">
        <v>32535</v>
      </c>
      <c r="H5" s="74">
        <v>33277</v>
      </c>
      <c r="I5" s="626"/>
      <c r="J5" s="626"/>
      <c r="K5" s="626"/>
    </row>
    <row r="6" spans="1:11">
      <c r="A6" s="250" t="s">
        <v>560</v>
      </c>
      <c r="B6" s="531"/>
      <c r="C6" s="74">
        <v>66</v>
      </c>
      <c r="D6" s="74">
        <v>-9</v>
      </c>
      <c r="E6" s="74">
        <v>484</v>
      </c>
      <c r="F6" s="74">
        <v>8058</v>
      </c>
      <c r="G6" s="74">
        <v>2864</v>
      </c>
      <c r="H6" s="74">
        <v>1081</v>
      </c>
      <c r="I6" s="626"/>
      <c r="J6" s="626"/>
      <c r="K6" s="626"/>
    </row>
    <row r="7" spans="1:11">
      <c r="A7" s="86" t="s">
        <v>375</v>
      </c>
      <c r="B7" s="531"/>
      <c r="C7" s="74">
        <v>-21708</v>
      </c>
      <c r="D7" s="74">
        <v>-22928</v>
      </c>
      <c r="E7" s="74">
        <v>-34854</v>
      </c>
      <c r="F7" s="74">
        <v>-45627</v>
      </c>
      <c r="G7" s="74">
        <v>-31431</v>
      </c>
      <c r="H7" s="74">
        <v>-27761</v>
      </c>
      <c r="I7" s="626"/>
      <c r="J7" s="626"/>
      <c r="K7" s="626"/>
    </row>
    <row r="8" spans="1:11">
      <c r="A8" s="79" t="s">
        <v>672</v>
      </c>
      <c r="B8" s="531"/>
      <c r="C8" s="74">
        <v>-792</v>
      </c>
      <c r="D8" s="74">
        <v>2227</v>
      </c>
      <c r="E8" s="74">
        <v>1941</v>
      </c>
      <c r="F8" s="74">
        <v>4408</v>
      </c>
      <c r="G8" s="74">
        <v>3968</v>
      </c>
      <c r="H8" s="74">
        <v>6597</v>
      </c>
      <c r="I8" s="626"/>
      <c r="J8" s="626"/>
      <c r="K8" s="626"/>
    </row>
    <row r="9" spans="1:11">
      <c r="A9" s="86" t="s">
        <v>376</v>
      </c>
      <c r="B9" s="531"/>
      <c r="C9" s="74">
        <v>-497</v>
      </c>
      <c r="D9" s="74">
        <v>-485</v>
      </c>
      <c r="E9" s="74">
        <v>-528</v>
      </c>
      <c r="F9" s="74">
        <v>-766</v>
      </c>
      <c r="G9" s="74">
        <v>-738</v>
      </c>
      <c r="H9" s="74">
        <v>-809</v>
      </c>
      <c r="I9" s="626"/>
      <c r="J9" s="626"/>
      <c r="K9" s="626"/>
    </row>
    <row r="10" spans="1:11">
      <c r="A10" s="86" t="s">
        <v>204</v>
      </c>
      <c r="B10" s="531"/>
      <c r="C10" s="74">
        <v>-637</v>
      </c>
      <c r="D10" s="74">
        <v>-490</v>
      </c>
      <c r="E10" s="74">
        <v>-558</v>
      </c>
      <c r="F10" s="74">
        <v>-701</v>
      </c>
      <c r="G10" s="74">
        <v>-753</v>
      </c>
      <c r="H10" s="74">
        <v>-788</v>
      </c>
      <c r="I10" s="626"/>
      <c r="J10" s="626"/>
      <c r="K10" s="626"/>
    </row>
    <row r="11" spans="1:11">
      <c r="A11" s="86" t="s">
        <v>205</v>
      </c>
      <c r="B11" s="531"/>
      <c r="C11" s="74">
        <v>373</v>
      </c>
      <c r="D11" s="71">
        <v>76</v>
      </c>
      <c r="E11" s="74">
        <v>86</v>
      </c>
      <c r="F11" s="74">
        <v>260</v>
      </c>
      <c r="G11" s="74">
        <v>90</v>
      </c>
      <c r="H11" s="74">
        <f>183-148</f>
        <v>35</v>
      </c>
      <c r="I11" s="626"/>
      <c r="J11" s="626"/>
      <c r="K11" s="626"/>
    </row>
    <row r="12" spans="1:11">
      <c r="A12" s="86" t="s">
        <v>388</v>
      </c>
      <c r="B12" s="531"/>
      <c r="C12" s="74">
        <v>16</v>
      </c>
      <c r="D12" s="71">
        <v>32</v>
      </c>
      <c r="E12" s="74">
        <v>128</v>
      </c>
      <c r="F12" s="74">
        <v>-487</v>
      </c>
      <c r="G12" s="74">
        <v>84</v>
      </c>
      <c r="H12" s="74">
        <v>57</v>
      </c>
      <c r="I12" s="626"/>
      <c r="J12" s="626"/>
      <c r="K12" s="626"/>
    </row>
    <row r="13" spans="1:11">
      <c r="A13" s="79" t="s">
        <v>377</v>
      </c>
      <c r="B13" s="531"/>
      <c r="C13" s="74">
        <v>-1537</v>
      </c>
      <c r="D13" s="71">
        <v>1360</v>
      </c>
      <c r="E13" s="74">
        <v>1069</v>
      </c>
      <c r="F13" s="74">
        <v>2714</v>
      </c>
      <c r="G13" s="74">
        <v>2651</v>
      </c>
      <c r="H13" s="74">
        <v>5092</v>
      </c>
      <c r="I13" s="626"/>
      <c r="J13" s="626"/>
      <c r="K13" s="626"/>
    </row>
    <row r="14" spans="1:11">
      <c r="A14" s="86" t="s">
        <v>206</v>
      </c>
      <c r="B14" s="531"/>
      <c r="C14" s="74">
        <v>-286</v>
      </c>
      <c r="D14" s="74">
        <v>-365</v>
      </c>
      <c r="E14" s="74">
        <v>-591</v>
      </c>
      <c r="F14" s="74">
        <v>-797</v>
      </c>
      <c r="G14" s="74">
        <v>-672</v>
      </c>
      <c r="H14" s="74">
        <v>-634</v>
      </c>
      <c r="I14" s="626"/>
      <c r="J14" s="626"/>
      <c r="K14" s="626"/>
    </row>
    <row r="15" spans="1:11">
      <c r="A15" s="86" t="s">
        <v>533</v>
      </c>
      <c r="B15" s="531"/>
      <c r="C15" s="74">
        <v>-356</v>
      </c>
      <c r="D15" s="71">
        <v>130</v>
      </c>
      <c r="E15" s="74">
        <v>-368</v>
      </c>
      <c r="F15" s="74">
        <v>-295</v>
      </c>
      <c r="G15" s="74">
        <v>-93</v>
      </c>
      <c r="H15" s="74">
        <f>-242+37</f>
        <v>-205</v>
      </c>
      <c r="I15" s="626"/>
      <c r="J15" s="626"/>
      <c r="K15" s="626"/>
    </row>
    <row r="16" spans="1:11">
      <c r="A16" s="79" t="s">
        <v>673</v>
      </c>
      <c r="B16" s="531"/>
      <c r="C16" s="74">
        <v>-2179</v>
      </c>
      <c r="D16" s="71">
        <v>1125</v>
      </c>
      <c r="E16" s="74">
        <v>110</v>
      </c>
      <c r="F16" s="74">
        <v>1622</v>
      </c>
      <c r="G16" s="74">
        <v>1886</v>
      </c>
      <c r="H16" s="74">
        <v>4253</v>
      </c>
      <c r="I16" s="626"/>
      <c r="J16" s="626"/>
      <c r="K16" s="626"/>
    </row>
    <row r="17" spans="1:11">
      <c r="A17" s="86" t="s">
        <v>207</v>
      </c>
      <c r="B17" s="531"/>
      <c r="C17" s="74">
        <v>6</v>
      </c>
      <c r="D17" s="74">
        <v>-293</v>
      </c>
      <c r="E17" s="74">
        <v>-319</v>
      </c>
      <c r="F17" s="74">
        <v>-494</v>
      </c>
      <c r="G17" s="74">
        <v>-1296</v>
      </c>
      <c r="H17" s="74">
        <v>-938</v>
      </c>
      <c r="I17" s="626"/>
      <c r="J17" s="626"/>
      <c r="K17" s="626"/>
    </row>
    <row r="18" spans="1:11">
      <c r="A18" s="86"/>
      <c r="B18" s="531"/>
      <c r="C18" s="74"/>
      <c r="D18" s="74"/>
      <c r="E18" s="74"/>
      <c r="F18" s="74"/>
      <c r="I18" s="626"/>
      <c r="J18" s="626"/>
      <c r="K18" s="626"/>
    </row>
    <row r="19" spans="1:11">
      <c r="A19" s="570" t="s">
        <v>729</v>
      </c>
      <c r="B19" s="541"/>
      <c r="C19" s="93"/>
      <c r="D19" s="93">
        <v>832</v>
      </c>
      <c r="E19" s="93">
        <v>-209</v>
      </c>
      <c r="F19" s="93">
        <v>1128</v>
      </c>
      <c r="G19" s="93">
        <v>590</v>
      </c>
      <c r="H19" s="93">
        <v>3315</v>
      </c>
      <c r="I19" s="626"/>
      <c r="J19" s="626"/>
      <c r="K19" s="626"/>
    </row>
    <row r="20" spans="1:11">
      <c r="A20" s="79"/>
      <c r="B20" s="531"/>
      <c r="C20" s="74"/>
      <c r="D20" s="74"/>
      <c r="E20" s="74"/>
      <c r="F20" s="74"/>
      <c r="I20" s="10"/>
      <c r="J20" s="10"/>
      <c r="K20" s="10"/>
    </row>
    <row r="21" spans="1:11">
      <c r="A21" s="570" t="s">
        <v>730</v>
      </c>
      <c r="B21" s="541"/>
      <c r="C21" s="93"/>
      <c r="D21" s="93">
        <v>-447</v>
      </c>
      <c r="E21" s="93">
        <v>75</v>
      </c>
      <c r="F21" s="93">
        <v>0</v>
      </c>
      <c r="G21" s="93"/>
      <c r="H21" s="93"/>
      <c r="I21" s="10"/>
      <c r="J21" s="10"/>
      <c r="K21" s="10"/>
    </row>
    <row r="22" spans="1:11">
      <c r="A22" s="86"/>
      <c r="B22" s="531"/>
      <c r="C22" s="74"/>
      <c r="D22" s="74"/>
      <c r="E22" s="74"/>
      <c r="F22" s="74"/>
      <c r="I22" s="10"/>
      <c r="J22" s="10"/>
      <c r="K22" s="10"/>
    </row>
    <row r="23" spans="1:11">
      <c r="A23" s="570" t="s">
        <v>674</v>
      </c>
      <c r="B23" s="541"/>
      <c r="C23" s="93">
        <v>-2173</v>
      </c>
      <c r="D23" s="93">
        <v>385</v>
      </c>
      <c r="E23" s="93">
        <v>-134</v>
      </c>
      <c r="F23" s="93">
        <v>1128</v>
      </c>
      <c r="G23" s="93">
        <v>590</v>
      </c>
      <c r="H23" s="93">
        <v>3315</v>
      </c>
      <c r="I23" s="626"/>
      <c r="J23" s="626"/>
      <c r="K23" s="10"/>
    </row>
    <row r="24" spans="1:11">
      <c r="A24" s="95"/>
    </row>
    <row r="25" spans="1:11">
      <c r="A25" s="86" t="s">
        <v>208</v>
      </c>
      <c r="B25" s="531"/>
      <c r="C25" s="74">
        <v>-103</v>
      </c>
      <c r="D25" s="71">
        <v>455</v>
      </c>
      <c r="E25" s="74">
        <v>187</v>
      </c>
      <c r="F25" s="74">
        <v>-287</v>
      </c>
      <c r="G25" s="74">
        <v>-97</v>
      </c>
      <c r="H25" s="74">
        <v>-226</v>
      </c>
      <c r="I25" s="91"/>
      <c r="J25" s="91"/>
      <c r="K25" s="91"/>
    </row>
    <row r="26" spans="1:11">
      <c r="A26" s="86" t="s">
        <v>209</v>
      </c>
      <c r="B26" s="531"/>
      <c r="C26" s="74">
        <v>12</v>
      </c>
      <c r="D26" s="71">
        <v>16</v>
      </c>
      <c r="E26" s="74">
        <v>17</v>
      </c>
      <c r="F26" s="74">
        <v>2</v>
      </c>
      <c r="G26" s="74">
        <v>-65</v>
      </c>
      <c r="H26" s="74">
        <v>1</v>
      </c>
      <c r="I26" s="91"/>
      <c r="J26" s="91"/>
      <c r="K26" s="91"/>
    </row>
    <row r="27" spans="1:11">
      <c r="A27" s="260" t="s">
        <v>210</v>
      </c>
      <c r="B27" s="531"/>
      <c r="C27" s="74">
        <v>19</v>
      </c>
      <c r="D27" s="74">
        <v>-88</v>
      </c>
      <c r="E27" s="74">
        <v>-36</v>
      </c>
      <c r="F27" s="74">
        <v>55</v>
      </c>
      <c r="G27" s="74">
        <v>18</v>
      </c>
      <c r="H27" s="74">
        <v>44</v>
      </c>
      <c r="I27" s="91"/>
      <c r="J27" s="91"/>
      <c r="K27" s="91"/>
    </row>
    <row r="28" spans="1:11" ht="26.5">
      <c r="A28" s="571" t="s">
        <v>675</v>
      </c>
      <c r="B28" s="531"/>
      <c r="C28" s="77">
        <v>-72</v>
      </c>
      <c r="D28" s="322">
        <v>383</v>
      </c>
      <c r="E28" s="77">
        <v>168</v>
      </c>
      <c r="F28" s="77">
        <v>-230</v>
      </c>
      <c r="G28" s="77">
        <v>-144</v>
      </c>
      <c r="H28" s="77">
        <v>-181</v>
      </c>
      <c r="I28" s="91"/>
      <c r="J28" s="91"/>
      <c r="K28" s="91"/>
    </row>
    <row r="29" spans="1:11">
      <c r="A29" s="260" t="s">
        <v>676</v>
      </c>
      <c r="B29" s="531"/>
      <c r="C29" s="74">
        <v>-144</v>
      </c>
      <c r="D29" s="71">
        <v>104</v>
      </c>
      <c r="E29" s="74">
        <v>68</v>
      </c>
      <c r="F29" s="74">
        <v>-133</v>
      </c>
      <c r="G29" s="74">
        <v>-60</v>
      </c>
      <c r="H29" s="74">
        <v>-82</v>
      </c>
      <c r="I29" s="91"/>
      <c r="J29" s="91"/>
      <c r="K29" s="91"/>
    </row>
    <row r="30" spans="1:11">
      <c r="A30" s="260" t="s">
        <v>210</v>
      </c>
      <c r="B30" s="531"/>
      <c r="C30" s="74">
        <v>27</v>
      </c>
      <c r="D30" s="74">
        <v>-18</v>
      </c>
      <c r="E30" s="74">
        <v>-12</v>
      </c>
      <c r="F30" s="74">
        <v>25</v>
      </c>
      <c r="G30" s="74">
        <v>12</v>
      </c>
      <c r="H30" s="74">
        <v>16</v>
      </c>
      <c r="I30" s="91"/>
      <c r="J30" s="91"/>
      <c r="K30" s="91"/>
    </row>
    <row r="31" spans="1:11" ht="26">
      <c r="A31" s="627" t="s">
        <v>804</v>
      </c>
      <c r="B31" s="531"/>
      <c r="C31" s="74"/>
      <c r="D31" s="74"/>
      <c r="E31" s="74"/>
      <c r="F31" s="74">
        <v>-1</v>
      </c>
      <c r="G31" s="74">
        <v>0</v>
      </c>
      <c r="H31" s="74">
        <v>0</v>
      </c>
      <c r="I31" s="91"/>
      <c r="J31" s="91"/>
      <c r="K31" s="91"/>
    </row>
    <row r="32" spans="1:11" ht="26.5">
      <c r="A32" s="571" t="s">
        <v>621</v>
      </c>
      <c r="B32" s="531"/>
      <c r="C32" s="74">
        <v>-117</v>
      </c>
      <c r="D32" s="71">
        <v>86</v>
      </c>
      <c r="E32" s="74">
        <v>56</v>
      </c>
      <c r="F32" s="74">
        <v>-109</v>
      </c>
      <c r="G32" s="74">
        <v>-48</v>
      </c>
      <c r="H32" s="74">
        <v>-66</v>
      </c>
      <c r="I32" s="91"/>
      <c r="J32" s="91"/>
      <c r="K32" s="91"/>
    </row>
    <row r="33" spans="1:11" ht="7.5" customHeight="1">
      <c r="A33" s="571"/>
      <c r="B33" s="531"/>
      <c r="C33" s="74"/>
    </row>
    <row r="34" spans="1:11" ht="26.5">
      <c r="A34" s="571" t="s">
        <v>731</v>
      </c>
      <c r="B34" s="531"/>
      <c r="C34" s="74"/>
      <c r="D34" s="71">
        <v>11</v>
      </c>
      <c r="E34" s="71">
        <v>18</v>
      </c>
    </row>
    <row r="35" spans="1:11">
      <c r="A35" s="571"/>
      <c r="B35" s="531"/>
      <c r="C35" s="74"/>
    </row>
    <row r="36" spans="1:11">
      <c r="A36" s="558" t="s">
        <v>211</v>
      </c>
      <c r="B36" s="531"/>
      <c r="C36" s="77">
        <v>-189</v>
      </c>
      <c r="D36" s="322">
        <v>480</v>
      </c>
      <c r="E36" s="322">
        <v>242</v>
      </c>
      <c r="F36" s="77">
        <v>-339</v>
      </c>
      <c r="G36" s="77">
        <v>-192</v>
      </c>
      <c r="H36" s="77">
        <v>-247</v>
      </c>
      <c r="I36" s="91"/>
      <c r="J36" s="91"/>
      <c r="K36" s="91"/>
    </row>
    <row r="37" spans="1:11">
      <c r="A37" s="558" t="s">
        <v>677</v>
      </c>
      <c r="B37" s="531"/>
      <c r="C37" s="74">
        <v>-2362</v>
      </c>
      <c r="D37" s="71">
        <v>865</v>
      </c>
      <c r="E37" s="71">
        <v>108</v>
      </c>
      <c r="F37" s="628">
        <v>789</v>
      </c>
      <c r="G37" s="628">
        <v>398</v>
      </c>
      <c r="H37" s="628">
        <v>3068</v>
      </c>
      <c r="I37" s="91"/>
      <c r="J37" s="91"/>
      <c r="K37" s="91"/>
    </row>
    <row r="38" spans="1:11">
      <c r="A38" s="79" t="s">
        <v>678</v>
      </c>
      <c r="I38" s="91"/>
      <c r="J38" s="91"/>
      <c r="K38" s="91"/>
    </row>
    <row r="39" spans="1:11">
      <c r="A39" s="86" t="s">
        <v>412</v>
      </c>
      <c r="B39" s="531"/>
      <c r="C39" s="74">
        <v>-2170</v>
      </c>
      <c r="D39" s="71">
        <v>338</v>
      </c>
      <c r="E39" s="74">
        <v>-134</v>
      </c>
      <c r="F39" s="71">
        <v>1123</v>
      </c>
      <c r="G39" s="71">
        <v>585</v>
      </c>
      <c r="H39" s="680">
        <v>3313</v>
      </c>
      <c r="I39" s="91"/>
      <c r="J39" s="91"/>
      <c r="K39" s="91"/>
    </row>
    <row r="40" spans="1:11">
      <c r="A40" s="86" t="s">
        <v>214</v>
      </c>
      <c r="B40" s="531"/>
      <c r="C40" s="74">
        <v>-3</v>
      </c>
      <c r="D40" s="71">
        <v>47</v>
      </c>
      <c r="E40" s="120">
        <v>0</v>
      </c>
      <c r="F40" s="71">
        <v>5</v>
      </c>
      <c r="G40" s="71">
        <v>5</v>
      </c>
      <c r="H40" s="680">
        <v>2</v>
      </c>
      <c r="I40" s="91"/>
      <c r="J40" s="91"/>
      <c r="K40" s="91"/>
    </row>
    <row r="41" spans="1:11">
      <c r="A41" s="79" t="s">
        <v>215</v>
      </c>
      <c r="I41" s="91"/>
      <c r="J41" s="91"/>
      <c r="K41" s="91"/>
    </row>
    <row r="42" spans="1:11">
      <c r="A42" s="86" t="s">
        <v>412</v>
      </c>
      <c r="B42" s="531"/>
      <c r="C42" s="74">
        <v>-2359</v>
      </c>
      <c r="D42" s="71">
        <v>818</v>
      </c>
      <c r="E42" s="74">
        <v>108</v>
      </c>
      <c r="F42" s="71">
        <v>784</v>
      </c>
      <c r="G42" s="71">
        <v>393</v>
      </c>
      <c r="H42" s="71">
        <v>3066</v>
      </c>
      <c r="I42" s="91"/>
      <c r="J42" s="91"/>
      <c r="K42" s="91"/>
    </row>
    <row r="43" spans="1:11">
      <c r="A43" s="96" t="s">
        <v>214</v>
      </c>
      <c r="B43" s="531"/>
      <c r="C43" s="74">
        <v>-3</v>
      </c>
      <c r="D43" s="71">
        <v>47</v>
      </c>
      <c r="E43" s="120">
        <v>0</v>
      </c>
      <c r="F43" s="71">
        <v>5</v>
      </c>
      <c r="G43" s="71">
        <v>5</v>
      </c>
      <c r="H43" s="71">
        <v>2</v>
      </c>
      <c r="I43" s="91"/>
      <c r="J43" s="91"/>
      <c r="K43" s="91"/>
    </row>
    <row r="44" spans="1:11">
      <c r="A44" s="79"/>
      <c r="B44" s="542"/>
      <c r="C44" s="118"/>
      <c r="D44" s="118"/>
      <c r="E44" s="118"/>
      <c r="F44" s="118"/>
      <c r="G44" s="118"/>
      <c r="H44" s="118"/>
      <c r="J44" s="91"/>
      <c r="K44" s="91"/>
    </row>
    <row r="45" spans="1:11">
      <c r="A45" s="570" t="s">
        <v>679</v>
      </c>
      <c r="C45" s="119">
        <v>-1.24</v>
      </c>
      <c r="D45" s="119">
        <v>0.19</v>
      </c>
      <c r="E45" s="119">
        <v>-7.6460041844618049E-2</v>
      </c>
      <c r="F45" s="119">
        <v>0.64</v>
      </c>
      <c r="G45" s="119">
        <v>0.33379943641120563</v>
      </c>
      <c r="H45" s="119">
        <v>1.8903889450091014</v>
      </c>
      <c r="I45" s="663"/>
      <c r="J45" s="91"/>
      <c r="K45" s="91"/>
    </row>
    <row r="46" spans="1:11">
      <c r="A46" s="268"/>
    </row>
    <row r="47" spans="1:11" ht="15.5">
      <c r="A47" s="568" t="s">
        <v>381</v>
      </c>
      <c r="B47" s="543"/>
      <c r="C47" s="832" t="s">
        <v>657</v>
      </c>
      <c r="D47" s="833"/>
      <c r="E47" s="828"/>
      <c r="F47" s="828"/>
      <c r="G47" s="828"/>
      <c r="H47" s="828"/>
    </row>
    <row r="48" spans="1:11" ht="64">
      <c r="A48" s="569" t="s">
        <v>671</v>
      </c>
      <c r="B48" s="538"/>
      <c r="C48" s="72" t="s">
        <v>620</v>
      </c>
      <c r="D48" s="72" t="s">
        <v>658</v>
      </c>
      <c r="E48" s="72" t="s">
        <v>850</v>
      </c>
      <c r="F48" s="72" t="s">
        <v>822</v>
      </c>
      <c r="G48" s="72" t="s">
        <v>852</v>
      </c>
      <c r="H48" s="72" t="s">
        <v>965</v>
      </c>
    </row>
    <row r="49" spans="1:49">
      <c r="A49" s="79" t="s">
        <v>217</v>
      </c>
    </row>
    <row r="50" spans="1:49">
      <c r="A50" s="79" t="s">
        <v>218</v>
      </c>
    </row>
    <row r="51" spans="1:49">
      <c r="A51" s="79" t="s">
        <v>219</v>
      </c>
      <c r="B51" s="539"/>
      <c r="C51" s="91">
        <v>29505</v>
      </c>
      <c r="D51" s="91">
        <v>29174</v>
      </c>
      <c r="E51" s="91">
        <v>29731</v>
      </c>
      <c r="F51" s="91">
        <v>31872</v>
      </c>
      <c r="G51" s="91">
        <v>33247</v>
      </c>
      <c r="H51" s="91">
        <v>36566</v>
      </c>
      <c r="I51" s="91"/>
      <c r="J51" s="91"/>
      <c r="K51" s="91"/>
    </row>
    <row r="52" spans="1:49">
      <c r="A52" s="79" t="s">
        <v>532</v>
      </c>
      <c r="B52" s="539"/>
      <c r="C52" s="91">
        <v>1876</v>
      </c>
      <c r="D52" s="91">
        <v>1946</v>
      </c>
      <c r="E52" s="91">
        <v>1996</v>
      </c>
      <c r="F52" s="91">
        <v>2164</v>
      </c>
      <c r="G52" s="91">
        <v>2495</v>
      </c>
      <c r="H52" s="91">
        <v>2591</v>
      </c>
      <c r="I52" s="91"/>
      <c r="J52" s="91"/>
      <c r="K52" s="91"/>
    </row>
    <row r="53" spans="1:49">
      <c r="A53" s="79" t="s">
        <v>220</v>
      </c>
      <c r="B53" s="539"/>
      <c r="C53" s="91">
        <v>26</v>
      </c>
      <c r="D53" s="91">
        <v>26</v>
      </c>
      <c r="E53" s="91">
        <v>26</v>
      </c>
      <c r="F53" s="91">
        <v>26</v>
      </c>
      <c r="G53" s="91">
        <v>26</v>
      </c>
      <c r="H53" s="91">
        <v>26</v>
      </c>
      <c r="I53" s="91"/>
      <c r="J53" s="91"/>
      <c r="K53" s="91"/>
    </row>
    <row r="54" spans="1:49" ht="28">
      <c r="A54" s="122" t="s">
        <v>603</v>
      </c>
      <c r="B54" s="539"/>
      <c r="C54" s="91">
        <v>501</v>
      </c>
      <c r="D54" s="91">
        <v>444</v>
      </c>
      <c r="E54" s="91">
        <v>55</v>
      </c>
      <c r="F54" s="91">
        <v>24</v>
      </c>
      <c r="G54" s="91">
        <v>38</v>
      </c>
      <c r="H54" s="91">
        <v>47</v>
      </c>
      <c r="I54" s="91"/>
      <c r="J54" s="91"/>
      <c r="K54" s="91"/>
    </row>
    <row r="55" spans="1:49">
      <c r="A55" s="79" t="s">
        <v>221</v>
      </c>
      <c r="B55" s="539"/>
      <c r="C55" s="91">
        <v>552</v>
      </c>
      <c r="D55" s="91">
        <v>540</v>
      </c>
      <c r="E55" s="91">
        <v>726</v>
      </c>
      <c r="F55" s="91">
        <v>848</v>
      </c>
      <c r="G55" s="91">
        <v>768</v>
      </c>
      <c r="H55" s="91">
        <v>846</v>
      </c>
      <c r="I55" s="91"/>
      <c r="J55" s="91"/>
      <c r="K55" s="91"/>
    </row>
    <row r="56" spans="1:49">
      <c r="A56" s="79" t="s">
        <v>222</v>
      </c>
      <c r="B56" s="539"/>
      <c r="C56" s="91">
        <v>587</v>
      </c>
      <c r="D56" s="91">
        <v>597</v>
      </c>
      <c r="E56" s="91">
        <v>682</v>
      </c>
      <c r="F56" s="91">
        <v>169</v>
      </c>
      <c r="G56" s="91">
        <v>190</v>
      </c>
      <c r="H56" s="91">
        <v>239</v>
      </c>
      <c r="I56" s="91"/>
      <c r="J56" s="91"/>
      <c r="K56" s="91"/>
    </row>
    <row r="57" spans="1:49">
      <c r="A57" s="79" t="s">
        <v>223</v>
      </c>
      <c r="B57" s="539"/>
      <c r="C57" s="91">
        <v>97</v>
      </c>
      <c r="D57" s="91">
        <v>99</v>
      </c>
      <c r="E57" s="91">
        <v>206</v>
      </c>
      <c r="F57" s="91">
        <v>357</v>
      </c>
      <c r="G57" s="91">
        <v>479</v>
      </c>
      <c r="H57" s="91">
        <v>494</v>
      </c>
      <c r="I57" s="91"/>
      <c r="J57" s="91"/>
      <c r="K57" s="91"/>
    </row>
    <row r="58" spans="1:49">
      <c r="A58" s="79" t="s">
        <v>385</v>
      </c>
      <c r="B58" s="539"/>
      <c r="C58" s="91">
        <v>36</v>
      </c>
      <c r="D58" s="91">
        <v>532</v>
      </c>
      <c r="E58" s="91">
        <v>390</v>
      </c>
      <c r="F58" s="91">
        <v>149</v>
      </c>
      <c r="G58" s="91">
        <v>90</v>
      </c>
      <c r="H58" s="91">
        <v>45</v>
      </c>
      <c r="I58" s="91"/>
      <c r="J58" s="91"/>
      <c r="K58" s="91"/>
    </row>
    <row r="59" spans="1:49">
      <c r="A59" s="79" t="s">
        <v>224</v>
      </c>
      <c r="B59" s="539"/>
      <c r="C59" s="91">
        <v>209</v>
      </c>
      <c r="D59" s="91">
        <v>215</v>
      </c>
      <c r="E59" s="91">
        <v>301</v>
      </c>
      <c r="F59" s="91">
        <v>278</v>
      </c>
      <c r="G59" s="91">
        <v>259</v>
      </c>
      <c r="H59" s="91">
        <v>233</v>
      </c>
      <c r="I59" s="91"/>
      <c r="J59" s="91"/>
      <c r="K59" s="91"/>
    </row>
    <row r="60" spans="1:49">
      <c r="A60" s="79" t="s">
        <v>225</v>
      </c>
      <c r="B60" s="539"/>
      <c r="C60" s="91">
        <v>63</v>
      </c>
      <c r="D60" s="91">
        <v>159</v>
      </c>
      <c r="E60" s="91">
        <v>268</v>
      </c>
      <c r="F60" s="91">
        <v>707</v>
      </c>
      <c r="G60" s="91">
        <v>333</v>
      </c>
      <c r="H60" s="91">
        <v>980</v>
      </c>
      <c r="I60" s="91"/>
      <c r="J60" s="91"/>
      <c r="K60" s="91"/>
    </row>
    <row r="61" spans="1:49">
      <c r="A61" s="83" t="s">
        <v>382</v>
      </c>
      <c r="B61" s="540"/>
      <c r="C61" s="84">
        <v>133</v>
      </c>
      <c r="D61" s="84">
        <v>123</v>
      </c>
      <c r="E61" s="84">
        <v>672</v>
      </c>
      <c r="F61" s="84">
        <v>759</v>
      </c>
      <c r="G61" s="84">
        <v>144</v>
      </c>
      <c r="H61" s="84">
        <v>46</v>
      </c>
      <c r="I61" s="91"/>
      <c r="J61" s="91"/>
      <c r="K61" s="91"/>
    </row>
    <row r="62" spans="1:49">
      <c r="A62" s="79"/>
      <c r="B62" s="531"/>
      <c r="C62" s="74">
        <v>33585</v>
      </c>
      <c r="D62" s="74">
        <v>33855</v>
      </c>
      <c r="E62" s="74">
        <v>35053</v>
      </c>
      <c r="F62" s="74">
        <v>37353</v>
      </c>
      <c r="G62" s="74">
        <v>38069</v>
      </c>
      <c r="H62" s="74">
        <v>42113</v>
      </c>
      <c r="I62" s="91"/>
      <c r="J62" s="91"/>
      <c r="K62" s="91"/>
    </row>
    <row r="63" spans="1:49">
      <c r="A63" s="79" t="s">
        <v>227</v>
      </c>
      <c r="B63" s="539"/>
      <c r="D63" s="91"/>
      <c r="I63" s="91"/>
      <c r="J63" s="91"/>
      <c r="K63" s="91"/>
    </row>
    <row r="64" spans="1:49" ht="28">
      <c r="A64" s="122" t="s">
        <v>602</v>
      </c>
      <c r="B64" s="539"/>
      <c r="C64" s="91">
        <v>1039</v>
      </c>
      <c r="D64" s="91">
        <v>157</v>
      </c>
      <c r="E64" s="91">
        <v>597</v>
      </c>
      <c r="F64" s="74">
        <v>702</v>
      </c>
      <c r="G64" s="74">
        <v>360</v>
      </c>
      <c r="H64" s="74">
        <v>227</v>
      </c>
      <c r="I64" s="91"/>
      <c r="J64" s="91"/>
      <c r="K64" s="91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</row>
    <row r="65" spans="1:49">
      <c r="A65" s="79" t="s">
        <v>228</v>
      </c>
      <c r="B65" s="539"/>
      <c r="C65" s="91">
        <v>874</v>
      </c>
      <c r="D65" s="91">
        <v>543</v>
      </c>
      <c r="E65" s="91">
        <v>1118</v>
      </c>
      <c r="F65" s="74">
        <v>1483</v>
      </c>
      <c r="G65" s="74">
        <v>937</v>
      </c>
      <c r="H65" s="74">
        <v>807</v>
      </c>
      <c r="I65" s="91"/>
      <c r="J65" s="91"/>
      <c r="K65" s="91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</row>
    <row r="66" spans="1:49">
      <c r="A66" s="79" t="s">
        <v>229</v>
      </c>
      <c r="B66" s="539"/>
      <c r="C66" s="91">
        <v>2473</v>
      </c>
      <c r="D66" s="91">
        <v>3322</v>
      </c>
      <c r="E66" s="91">
        <f>3819-44</f>
        <v>3775</v>
      </c>
      <c r="F66" s="74">
        <f>5341-660</f>
        <v>4681</v>
      </c>
      <c r="G66" s="74">
        <v>4089</v>
      </c>
      <c r="H66" s="74">
        <v>4056</v>
      </c>
      <c r="I66" s="91"/>
      <c r="J66" s="91"/>
      <c r="K66" s="91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</row>
    <row r="67" spans="1:49" ht="15" customHeight="1">
      <c r="A67" s="79" t="s">
        <v>383</v>
      </c>
      <c r="B67" s="531"/>
      <c r="C67" s="74">
        <v>84</v>
      </c>
      <c r="D67" s="91">
        <v>415</v>
      </c>
      <c r="E67" s="91">
        <v>518</v>
      </c>
      <c r="F67" s="74">
        <v>105</v>
      </c>
      <c r="G67" s="74">
        <v>130</v>
      </c>
      <c r="H67" s="74">
        <v>63</v>
      </c>
      <c r="I67" s="91"/>
      <c r="J67" s="91"/>
      <c r="K67" s="91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74"/>
      <c r="AT67" s="74"/>
      <c r="AU67" s="74"/>
      <c r="AV67" s="74"/>
      <c r="AW67" s="74"/>
    </row>
    <row r="68" spans="1:49" ht="15" customHeight="1">
      <c r="A68" s="79" t="s">
        <v>230</v>
      </c>
      <c r="B68" s="531"/>
      <c r="C68" s="91">
        <v>295</v>
      </c>
      <c r="D68" s="91">
        <v>292</v>
      </c>
      <c r="E68" s="91">
        <v>803</v>
      </c>
      <c r="F68" s="74">
        <v>794</v>
      </c>
      <c r="G68" s="74">
        <v>459</v>
      </c>
      <c r="H68" s="74">
        <v>441</v>
      </c>
      <c r="I68" s="91"/>
      <c r="J68" s="91"/>
      <c r="K68" s="91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</row>
    <row r="69" spans="1:49" ht="15" customHeight="1">
      <c r="A69" s="79" t="s">
        <v>223</v>
      </c>
      <c r="B69" s="531"/>
      <c r="C69" s="91">
        <v>2</v>
      </c>
      <c r="D69" s="120">
        <v>0</v>
      </c>
      <c r="E69" s="120">
        <v>0</v>
      </c>
      <c r="F69" s="120">
        <v>0</v>
      </c>
      <c r="G69" s="120">
        <v>0</v>
      </c>
      <c r="H69" s="120">
        <v>0</v>
      </c>
      <c r="I69" s="91"/>
      <c r="J69" s="91"/>
      <c r="K69" s="91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</row>
    <row r="70" spans="1:49" ht="15" customHeight="1">
      <c r="A70" s="79" t="s">
        <v>680</v>
      </c>
      <c r="B70" s="531"/>
      <c r="C70" s="91">
        <v>123</v>
      </c>
      <c r="D70" s="91">
        <v>465</v>
      </c>
      <c r="E70" s="91">
        <v>459</v>
      </c>
      <c r="F70" s="91">
        <v>275</v>
      </c>
      <c r="G70" s="91">
        <v>159</v>
      </c>
      <c r="H70" s="91">
        <v>63</v>
      </c>
      <c r="I70" s="91"/>
      <c r="J70" s="91"/>
      <c r="K70" s="91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</row>
    <row r="71" spans="1:49">
      <c r="A71" s="79" t="s">
        <v>224</v>
      </c>
      <c r="B71" s="544"/>
      <c r="C71" s="91">
        <v>143</v>
      </c>
      <c r="D71" s="91">
        <v>89</v>
      </c>
      <c r="E71" s="91">
        <v>478</v>
      </c>
      <c r="F71" s="91">
        <v>2449</v>
      </c>
      <c r="G71" s="91">
        <v>743</v>
      </c>
      <c r="H71" s="91">
        <v>320</v>
      </c>
      <c r="I71" s="91"/>
      <c r="J71" s="91"/>
      <c r="K71" s="91"/>
    </row>
    <row r="72" spans="1:49">
      <c r="A72" s="117" t="s">
        <v>225</v>
      </c>
      <c r="B72" s="531"/>
      <c r="C72" s="91">
        <v>83</v>
      </c>
      <c r="D72" s="91">
        <v>112</v>
      </c>
      <c r="E72" s="91">
        <v>790</v>
      </c>
      <c r="F72" s="91">
        <v>207</v>
      </c>
      <c r="G72" s="91">
        <v>167</v>
      </c>
      <c r="H72" s="91">
        <v>133</v>
      </c>
      <c r="I72" s="91"/>
      <c r="J72" s="91"/>
      <c r="K72" s="91"/>
    </row>
    <row r="73" spans="1:49">
      <c r="A73" s="79" t="s">
        <v>231</v>
      </c>
      <c r="B73" s="531"/>
      <c r="C73" s="74">
        <v>921</v>
      </c>
      <c r="D73" s="91">
        <v>815</v>
      </c>
      <c r="E73" s="91">
        <v>1678</v>
      </c>
      <c r="F73" s="91">
        <v>1084</v>
      </c>
      <c r="G73" s="91">
        <v>596</v>
      </c>
      <c r="H73" s="91">
        <v>489</v>
      </c>
      <c r="I73" s="91"/>
      <c r="J73" s="91"/>
      <c r="K73" s="91"/>
    </row>
    <row r="74" spans="1:49">
      <c r="A74" s="261" t="s">
        <v>601</v>
      </c>
      <c r="B74" s="540"/>
      <c r="C74" s="84">
        <v>74</v>
      </c>
      <c r="D74" s="84">
        <v>10</v>
      </c>
      <c r="E74" s="84">
        <v>7</v>
      </c>
      <c r="F74" s="84">
        <v>5</v>
      </c>
      <c r="G74" s="84">
        <v>5</v>
      </c>
      <c r="H74" s="84">
        <v>5</v>
      </c>
      <c r="I74" s="91"/>
      <c r="J74" s="91"/>
      <c r="K74" s="91"/>
    </row>
    <row r="75" spans="1:49">
      <c r="A75" s="79"/>
      <c r="B75" s="531"/>
      <c r="C75" s="74">
        <v>6111</v>
      </c>
      <c r="D75" s="91">
        <v>6220</v>
      </c>
      <c r="E75" s="91">
        <f>10267-44</f>
        <v>10223</v>
      </c>
      <c r="F75" s="91">
        <f>12445-660</f>
        <v>11785</v>
      </c>
      <c r="G75" s="91">
        <v>7645</v>
      </c>
      <c r="H75" s="91">
        <v>6604</v>
      </c>
      <c r="I75" s="91"/>
      <c r="J75" s="91"/>
      <c r="K75" s="91"/>
    </row>
    <row r="76" spans="1:49">
      <c r="A76" s="79"/>
      <c r="D76" s="91"/>
      <c r="E76" s="91"/>
      <c r="F76" s="91"/>
      <c r="G76" s="91"/>
      <c r="H76" s="91"/>
      <c r="I76" s="91"/>
      <c r="J76" s="91"/>
      <c r="K76" s="91"/>
    </row>
    <row r="77" spans="1:49">
      <c r="A77" s="73" t="s">
        <v>232</v>
      </c>
      <c r="B77" s="545"/>
      <c r="C77" s="100">
        <v>39696</v>
      </c>
      <c r="D77" s="100">
        <v>40075</v>
      </c>
      <c r="E77" s="100">
        <f>45320-44</f>
        <v>45276</v>
      </c>
      <c r="F77" s="100">
        <f>49798-660</f>
        <v>49138</v>
      </c>
      <c r="G77" s="100">
        <v>45714</v>
      </c>
      <c r="H77" s="100">
        <v>48717</v>
      </c>
      <c r="I77" s="91"/>
      <c r="J77" s="91"/>
      <c r="K77" s="91"/>
    </row>
    <row r="78" spans="1:49">
      <c r="A78" s="79"/>
      <c r="B78" s="546"/>
      <c r="C78" s="101"/>
      <c r="D78" s="132"/>
      <c r="E78" s="132"/>
      <c r="F78" s="132"/>
      <c r="G78" s="132"/>
      <c r="H78" s="132"/>
      <c r="I78" s="91"/>
      <c r="J78" s="91"/>
      <c r="K78" s="91"/>
    </row>
    <row r="79" spans="1:49">
      <c r="A79" s="95" t="s">
        <v>233</v>
      </c>
      <c r="B79" s="531"/>
      <c r="D79" s="91"/>
      <c r="I79" s="91"/>
      <c r="J79" s="91"/>
      <c r="K79" s="91"/>
    </row>
    <row r="80" spans="1:49">
      <c r="A80" s="79" t="s">
        <v>384</v>
      </c>
      <c r="B80" s="531"/>
      <c r="D80" s="91"/>
      <c r="I80" s="91"/>
      <c r="J80" s="91"/>
      <c r="K80" s="91"/>
    </row>
    <row r="81" spans="1:11">
      <c r="A81" s="79" t="s">
        <v>235</v>
      </c>
      <c r="B81" s="531"/>
      <c r="C81" s="74">
        <v>8763</v>
      </c>
      <c r="D81" s="91">
        <v>8763</v>
      </c>
      <c r="E81" s="91">
        <v>8763</v>
      </c>
      <c r="F81" s="91">
        <v>8763</v>
      </c>
      <c r="G81" s="91">
        <v>8763</v>
      </c>
      <c r="H81" s="91">
        <v>8763</v>
      </c>
      <c r="I81" s="91"/>
      <c r="J81" s="91"/>
      <c r="K81" s="91"/>
    </row>
    <row r="82" spans="1:11">
      <c r="A82" s="79" t="s">
        <v>236</v>
      </c>
      <c r="B82" s="531"/>
      <c r="C82" s="74">
        <v>6339</v>
      </c>
      <c r="D82" s="91">
        <v>2749</v>
      </c>
      <c r="E82" s="91">
        <v>3009</v>
      </c>
      <c r="F82" s="91">
        <v>3076</v>
      </c>
      <c r="G82" s="91">
        <v>2438</v>
      </c>
      <c r="H82" s="91">
        <v>2948</v>
      </c>
      <c r="I82" s="91"/>
      <c r="J82" s="91"/>
      <c r="K82" s="91"/>
    </row>
    <row r="83" spans="1:11">
      <c r="A83" s="79" t="s">
        <v>237</v>
      </c>
      <c r="B83" s="531"/>
      <c r="C83" s="74">
        <v>-68</v>
      </c>
      <c r="D83" s="91">
        <v>299</v>
      </c>
      <c r="E83" s="91">
        <v>450</v>
      </c>
      <c r="F83" s="91">
        <v>218</v>
      </c>
      <c r="G83" s="91">
        <v>139</v>
      </c>
      <c r="H83" s="91">
        <v>-42</v>
      </c>
      <c r="I83" s="91"/>
      <c r="J83" s="91"/>
      <c r="K83" s="91"/>
    </row>
    <row r="84" spans="1:11">
      <c r="A84" s="79" t="s">
        <v>209</v>
      </c>
      <c r="B84" s="531"/>
      <c r="C84" s="74">
        <v>27</v>
      </c>
      <c r="D84" s="91">
        <v>43</v>
      </c>
      <c r="E84" s="91">
        <v>60</v>
      </c>
      <c r="F84" s="91">
        <v>62</v>
      </c>
      <c r="G84" s="91">
        <v>-3</v>
      </c>
      <c r="H84" s="91">
        <v>-2</v>
      </c>
      <c r="I84" s="91"/>
      <c r="J84" s="91"/>
      <c r="K84" s="91"/>
    </row>
    <row r="85" spans="1:11">
      <c r="A85" s="80" t="s">
        <v>413</v>
      </c>
      <c r="B85" s="540"/>
      <c r="C85" s="84">
        <v>773</v>
      </c>
      <c r="D85" s="84">
        <v>4637</v>
      </c>
      <c r="E85" s="84">
        <f>4299-45</f>
        <v>4254</v>
      </c>
      <c r="F85" s="84">
        <f>5796-595</f>
        <v>5201</v>
      </c>
      <c r="G85" s="84">
        <v>6376</v>
      </c>
      <c r="H85" s="84">
        <v>9116</v>
      </c>
      <c r="I85" s="91"/>
      <c r="J85" s="91"/>
      <c r="K85" s="91"/>
    </row>
    <row r="86" spans="1:11">
      <c r="A86" s="79"/>
      <c r="B86" s="531"/>
      <c r="C86" s="74">
        <v>15834</v>
      </c>
      <c r="D86" s="91">
        <v>16491</v>
      </c>
      <c r="E86" s="91">
        <f>16581-45</f>
        <v>16536</v>
      </c>
      <c r="F86" s="91">
        <f>17915-595</f>
        <v>17320</v>
      </c>
      <c r="G86" s="91">
        <v>17713</v>
      </c>
      <c r="H86" s="91">
        <v>20783</v>
      </c>
      <c r="I86" s="91"/>
      <c r="J86" s="91"/>
      <c r="K86" s="91"/>
    </row>
    <row r="87" spans="1:11">
      <c r="A87" s="79"/>
      <c r="B87" s="531"/>
      <c r="D87" s="91"/>
      <c r="E87" s="91"/>
      <c r="I87" s="91"/>
      <c r="J87" s="91"/>
      <c r="K87" s="91"/>
    </row>
    <row r="88" spans="1:11">
      <c r="A88" s="79" t="s">
        <v>239</v>
      </c>
      <c r="B88" s="539"/>
      <c r="C88" s="91">
        <v>893</v>
      </c>
      <c r="D88" s="91">
        <v>33</v>
      </c>
      <c r="E88" s="91">
        <v>33</v>
      </c>
      <c r="F88" s="71">
        <v>38</v>
      </c>
      <c r="G88" s="71">
        <v>41</v>
      </c>
      <c r="H88" s="71">
        <v>3</v>
      </c>
      <c r="I88" s="91"/>
      <c r="J88" s="91"/>
      <c r="K88" s="91"/>
    </row>
    <row r="89" spans="1:11">
      <c r="A89" s="79"/>
      <c r="D89" s="91"/>
      <c r="E89" s="91"/>
      <c r="I89" s="91"/>
      <c r="J89" s="91"/>
      <c r="K89" s="91"/>
    </row>
    <row r="90" spans="1:11">
      <c r="A90" s="82" t="s">
        <v>240</v>
      </c>
      <c r="B90" s="546"/>
      <c r="C90" s="101">
        <v>16727</v>
      </c>
      <c r="D90" s="101">
        <v>16524</v>
      </c>
      <c r="E90" s="101">
        <f>16614-45</f>
        <v>16569</v>
      </c>
      <c r="F90" s="101">
        <f>17953-595</f>
        <v>17358</v>
      </c>
      <c r="G90" s="101">
        <v>17754</v>
      </c>
      <c r="H90" s="101">
        <v>20786</v>
      </c>
      <c r="I90" s="91"/>
      <c r="J90" s="91"/>
      <c r="K90" s="91"/>
    </row>
    <row r="91" spans="1:11">
      <c r="A91" s="79"/>
      <c r="B91" s="546"/>
      <c r="C91" s="101"/>
      <c r="D91" s="101"/>
      <c r="E91" s="101"/>
      <c r="F91" s="101"/>
      <c r="G91" s="101"/>
      <c r="H91" s="101"/>
      <c r="I91" s="91"/>
      <c r="J91" s="91"/>
      <c r="K91" s="91"/>
    </row>
    <row r="92" spans="1:11">
      <c r="A92" s="95" t="s">
        <v>241</v>
      </c>
      <c r="B92" s="531"/>
      <c r="D92" s="91"/>
      <c r="I92" s="91"/>
      <c r="J92" s="91"/>
      <c r="K92" s="91"/>
    </row>
    <row r="93" spans="1:11">
      <c r="A93" s="79" t="s">
        <v>681</v>
      </c>
      <c r="B93" s="547"/>
      <c r="C93" s="400">
        <v>13171</v>
      </c>
      <c r="D93" s="400">
        <v>10947</v>
      </c>
      <c r="E93" s="400">
        <v>15959</v>
      </c>
      <c r="F93" s="400">
        <v>15317</v>
      </c>
      <c r="G93" s="400">
        <v>12475</v>
      </c>
      <c r="H93" s="400">
        <v>11911</v>
      </c>
      <c r="I93" s="91"/>
      <c r="J93" s="91"/>
      <c r="K93" s="91"/>
    </row>
    <row r="94" spans="1:11">
      <c r="A94" s="79" t="s">
        <v>243</v>
      </c>
      <c r="B94" s="547"/>
      <c r="C94" s="91">
        <v>952</v>
      </c>
      <c r="D94" s="91">
        <v>789</v>
      </c>
      <c r="E94" s="91">
        <v>494</v>
      </c>
      <c r="F94" s="91">
        <v>650</v>
      </c>
      <c r="G94" s="91">
        <v>701</v>
      </c>
      <c r="H94" s="91">
        <v>820</v>
      </c>
      <c r="I94" s="91"/>
      <c r="J94" s="91"/>
      <c r="K94" s="91"/>
    </row>
    <row r="95" spans="1:11" ht="26">
      <c r="A95" s="250" t="s">
        <v>682</v>
      </c>
      <c r="B95" s="547"/>
      <c r="C95" s="400">
        <v>669</v>
      </c>
      <c r="D95" s="400">
        <v>436</v>
      </c>
      <c r="E95" s="400">
        <v>157</v>
      </c>
      <c r="F95" s="400">
        <v>209</v>
      </c>
      <c r="G95" s="400">
        <v>216</v>
      </c>
      <c r="H95" s="400">
        <v>293</v>
      </c>
      <c r="I95" s="91"/>
      <c r="J95" s="91"/>
      <c r="K95" s="91"/>
    </row>
    <row r="96" spans="1:11">
      <c r="A96" s="79" t="s">
        <v>244</v>
      </c>
      <c r="B96" s="547"/>
      <c r="C96" s="91">
        <v>495</v>
      </c>
      <c r="D96" s="91">
        <v>568</v>
      </c>
      <c r="E96" s="91">
        <v>571</v>
      </c>
      <c r="F96" s="91">
        <v>607</v>
      </c>
      <c r="G96" s="91">
        <v>612</v>
      </c>
      <c r="H96" s="91">
        <v>1670</v>
      </c>
      <c r="I96" s="91"/>
      <c r="J96" s="91"/>
      <c r="K96" s="91"/>
    </row>
    <row r="97" spans="1:11">
      <c r="A97" s="79" t="s">
        <v>386</v>
      </c>
      <c r="B97" s="547"/>
      <c r="C97" s="74">
        <v>434</v>
      </c>
      <c r="D97" s="91">
        <v>741</v>
      </c>
      <c r="E97" s="91">
        <f>1200-10</f>
        <v>1190</v>
      </c>
      <c r="F97" s="91">
        <f>1212-140</f>
        <v>1072</v>
      </c>
      <c r="G97" s="91">
        <v>1592</v>
      </c>
      <c r="H97" s="91">
        <v>1529</v>
      </c>
      <c r="I97" s="91"/>
      <c r="J97" s="91"/>
      <c r="K97" s="91"/>
    </row>
    <row r="98" spans="1:11">
      <c r="A98" s="79" t="s">
        <v>385</v>
      </c>
      <c r="B98" s="539"/>
      <c r="C98" s="91">
        <v>74</v>
      </c>
      <c r="D98" s="91">
        <v>116</v>
      </c>
      <c r="E98" s="91">
        <v>10</v>
      </c>
      <c r="F98" s="91">
        <v>169</v>
      </c>
      <c r="G98" s="91">
        <v>64</v>
      </c>
      <c r="H98" s="91">
        <v>91</v>
      </c>
      <c r="I98" s="91"/>
      <c r="J98" s="91"/>
      <c r="K98" s="91"/>
    </row>
    <row r="99" spans="1:11">
      <c r="A99" s="79" t="s">
        <v>247</v>
      </c>
      <c r="B99" s="539"/>
      <c r="C99" s="91">
        <v>64</v>
      </c>
      <c r="D99" s="91">
        <v>33</v>
      </c>
      <c r="E99" s="91">
        <v>119</v>
      </c>
      <c r="F99" s="91">
        <f>152+32</f>
        <v>184</v>
      </c>
      <c r="G99" s="91">
        <f>106+40</f>
        <v>146</v>
      </c>
      <c r="H99" s="91">
        <f>38+40</f>
        <v>78</v>
      </c>
      <c r="I99" s="91"/>
      <c r="J99" s="91"/>
      <c r="K99" s="91"/>
    </row>
    <row r="100" spans="1:11">
      <c r="A100" s="83" t="s">
        <v>251</v>
      </c>
      <c r="B100" s="540"/>
      <c r="C100" s="84">
        <v>8</v>
      </c>
      <c r="D100" s="84">
        <v>4</v>
      </c>
      <c r="E100" s="84">
        <v>1</v>
      </c>
      <c r="F100" s="84">
        <v>1</v>
      </c>
      <c r="G100" s="84">
        <v>1</v>
      </c>
      <c r="H100" s="84">
        <v>1</v>
      </c>
      <c r="I100" s="91"/>
      <c r="J100" s="91"/>
      <c r="K100" s="91"/>
    </row>
    <row r="101" spans="1:11">
      <c r="A101" s="79"/>
      <c r="B101" s="539"/>
      <c r="C101" s="91">
        <v>15867</v>
      </c>
      <c r="D101" s="91">
        <v>13634</v>
      </c>
      <c r="E101" s="91">
        <f>18511-10</f>
        <v>18501</v>
      </c>
      <c r="F101" s="91">
        <f>18349-140</f>
        <v>18209</v>
      </c>
      <c r="G101" s="91">
        <v>15807</v>
      </c>
      <c r="H101" s="91">
        <v>16393</v>
      </c>
      <c r="I101" s="91"/>
      <c r="J101" s="91"/>
      <c r="K101" s="91"/>
    </row>
    <row r="102" spans="1:11">
      <c r="A102" s="79" t="s">
        <v>248</v>
      </c>
      <c r="B102" s="531"/>
      <c r="D102" s="91"/>
      <c r="I102" s="91"/>
      <c r="J102" s="91"/>
      <c r="K102" s="91"/>
    </row>
    <row r="103" spans="1:11">
      <c r="A103" s="79" t="s">
        <v>681</v>
      </c>
      <c r="B103" s="547"/>
      <c r="C103" s="400">
        <v>1481</v>
      </c>
      <c r="D103" s="91">
        <v>2143</v>
      </c>
      <c r="E103" s="91">
        <v>528</v>
      </c>
      <c r="F103" s="628">
        <v>2098</v>
      </c>
      <c r="G103" s="628">
        <v>2140</v>
      </c>
      <c r="H103" s="628">
        <v>1207</v>
      </c>
      <c r="I103" s="91"/>
      <c r="J103" s="91"/>
      <c r="K103" s="91"/>
    </row>
    <row r="104" spans="1:11">
      <c r="A104" s="79" t="s">
        <v>246</v>
      </c>
      <c r="B104" s="531"/>
      <c r="C104" s="74">
        <v>1021</v>
      </c>
      <c r="D104" s="91">
        <v>1242</v>
      </c>
      <c r="E104" s="91">
        <f>2246+11</f>
        <v>2257</v>
      </c>
      <c r="F104" s="628">
        <f>2088+75</f>
        <v>2163</v>
      </c>
      <c r="G104" s="628">
        <v>1955</v>
      </c>
      <c r="H104" s="628">
        <v>1852</v>
      </c>
      <c r="I104" s="91"/>
      <c r="J104" s="91"/>
      <c r="K104" s="91"/>
    </row>
    <row r="105" spans="1:11">
      <c r="A105" s="572" t="s">
        <v>683</v>
      </c>
      <c r="B105" s="531"/>
      <c r="C105" s="74">
        <v>0</v>
      </c>
      <c r="D105" s="91">
        <v>1061</v>
      </c>
      <c r="E105" s="91">
        <v>0</v>
      </c>
      <c r="F105" s="628">
        <v>0</v>
      </c>
      <c r="G105" s="628">
        <v>0</v>
      </c>
      <c r="H105" s="628">
        <v>0</v>
      </c>
      <c r="I105" s="91"/>
      <c r="J105" s="91"/>
      <c r="K105" s="91"/>
    </row>
    <row r="106" spans="1:11">
      <c r="A106" s="79" t="s">
        <v>249</v>
      </c>
      <c r="B106" s="531"/>
      <c r="C106" s="74">
        <v>857</v>
      </c>
      <c r="D106" s="91">
        <v>616</v>
      </c>
      <c r="E106" s="91">
        <v>707</v>
      </c>
      <c r="F106" s="628">
        <v>555</v>
      </c>
      <c r="G106" s="628">
        <v>592</v>
      </c>
      <c r="H106" s="628">
        <v>916</v>
      </c>
      <c r="I106" s="91"/>
      <c r="J106" s="91"/>
      <c r="K106" s="91"/>
    </row>
    <row r="107" spans="1:11">
      <c r="A107" s="79" t="s">
        <v>243</v>
      </c>
      <c r="B107" s="531"/>
      <c r="C107" s="74">
        <v>104</v>
      </c>
      <c r="D107" s="91">
        <v>104</v>
      </c>
      <c r="E107" s="91">
        <v>92</v>
      </c>
      <c r="F107" s="628">
        <v>104</v>
      </c>
      <c r="G107" s="628">
        <v>110</v>
      </c>
      <c r="H107" s="628">
        <v>171</v>
      </c>
      <c r="I107" s="91"/>
      <c r="J107" s="91"/>
      <c r="K107" s="91"/>
    </row>
    <row r="108" spans="1:11" ht="26">
      <c r="A108" s="250" t="s">
        <v>684</v>
      </c>
      <c r="B108" s="531"/>
      <c r="C108" s="74">
        <v>1750</v>
      </c>
      <c r="D108" s="91">
        <v>1890</v>
      </c>
      <c r="E108" s="91">
        <v>3692</v>
      </c>
      <c r="F108" s="628">
        <v>3744</v>
      </c>
      <c r="G108" s="628">
        <v>3386</v>
      </c>
      <c r="H108" s="628">
        <v>3327</v>
      </c>
      <c r="I108" s="91"/>
      <c r="J108" s="91"/>
      <c r="K108" s="91"/>
    </row>
    <row r="109" spans="1:11">
      <c r="A109" s="79" t="s">
        <v>250</v>
      </c>
      <c r="B109" s="531"/>
      <c r="C109" s="74">
        <v>304</v>
      </c>
      <c r="D109" s="74">
        <v>619</v>
      </c>
      <c r="E109" s="74">
        <v>387</v>
      </c>
      <c r="F109" s="90">
        <v>843</v>
      </c>
      <c r="G109" s="90">
        <v>236</v>
      </c>
      <c r="H109" s="90">
        <v>637</v>
      </c>
      <c r="I109" s="91"/>
      <c r="J109" s="91"/>
      <c r="K109" s="91"/>
    </row>
    <row r="110" spans="1:11">
      <c r="A110" s="79" t="s">
        <v>244</v>
      </c>
      <c r="B110" s="531"/>
      <c r="C110" s="74">
        <v>181</v>
      </c>
      <c r="D110" s="91">
        <v>177</v>
      </c>
      <c r="E110" s="91">
        <v>513</v>
      </c>
      <c r="F110" s="628">
        <v>351</v>
      </c>
      <c r="G110" s="628">
        <v>398</v>
      </c>
      <c r="H110" s="628">
        <v>241</v>
      </c>
      <c r="I110" s="91"/>
      <c r="J110" s="91"/>
      <c r="K110" s="91"/>
    </row>
    <row r="111" spans="1:11">
      <c r="A111" s="79" t="s">
        <v>387</v>
      </c>
      <c r="B111" s="531"/>
      <c r="C111" s="74">
        <v>3</v>
      </c>
      <c r="D111" s="91">
        <v>4</v>
      </c>
      <c r="E111" s="91">
        <v>17</v>
      </c>
      <c r="F111" s="628">
        <v>19</v>
      </c>
      <c r="G111" s="628">
        <v>23</v>
      </c>
      <c r="H111" s="628">
        <v>475</v>
      </c>
      <c r="I111" s="91"/>
      <c r="J111" s="91"/>
      <c r="K111" s="91"/>
    </row>
    <row r="112" spans="1:11">
      <c r="A112" s="79" t="s">
        <v>685</v>
      </c>
      <c r="B112" s="531"/>
      <c r="C112" s="74">
        <v>410</v>
      </c>
      <c r="D112" s="91">
        <v>629</v>
      </c>
      <c r="E112" s="91">
        <v>324</v>
      </c>
      <c r="F112" s="628">
        <v>1030</v>
      </c>
      <c r="G112" s="628">
        <v>977</v>
      </c>
      <c r="H112" s="628">
        <v>843</v>
      </c>
      <c r="I112" s="91"/>
      <c r="J112" s="91"/>
      <c r="K112" s="91"/>
    </row>
    <row r="113" spans="1:11">
      <c r="A113" s="79" t="s">
        <v>385</v>
      </c>
      <c r="B113" s="531"/>
      <c r="C113" s="74">
        <v>102</v>
      </c>
      <c r="D113" s="91">
        <v>379</v>
      </c>
      <c r="E113" s="91">
        <v>331</v>
      </c>
      <c r="F113" s="628">
        <v>644</v>
      </c>
      <c r="G113" s="628">
        <v>375</v>
      </c>
      <c r="H113" s="628">
        <v>259</v>
      </c>
      <c r="I113" s="91"/>
      <c r="J113" s="91"/>
      <c r="K113" s="91"/>
    </row>
    <row r="114" spans="1:11">
      <c r="A114" s="79" t="s">
        <v>247</v>
      </c>
      <c r="B114" s="531"/>
      <c r="C114" s="91">
        <v>458</v>
      </c>
      <c r="D114" s="91">
        <v>483</v>
      </c>
      <c r="E114" s="91">
        <v>514</v>
      </c>
      <c r="F114" s="628">
        <v>640</v>
      </c>
      <c r="G114" s="628">
        <v>740</v>
      </c>
      <c r="H114" s="628">
        <v>471</v>
      </c>
      <c r="I114" s="91"/>
      <c r="J114" s="91"/>
      <c r="K114" s="91"/>
    </row>
    <row r="115" spans="1:11">
      <c r="A115" s="117" t="s">
        <v>251</v>
      </c>
      <c r="B115" s="548"/>
      <c r="C115" s="91">
        <v>423</v>
      </c>
      <c r="D115" s="91">
        <v>570</v>
      </c>
      <c r="E115" s="91">
        <v>843</v>
      </c>
      <c r="F115" s="628">
        <v>1379</v>
      </c>
      <c r="G115" s="628">
        <v>1221</v>
      </c>
      <c r="H115" s="628">
        <v>1139</v>
      </c>
      <c r="I115" s="91"/>
      <c r="J115" s="91"/>
      <c r="K115" s="91"/>
    </row>
    <row r="116" spans="1:11" ht="26">
      <c r="A116" s="261" t="s">
        <v>686</v>
      </c>
      <c r="B116" s="549"/>
      <c r="C116" s="398">
        <v>8</v>
      </c>
      <c r="D116" s="398">
        <v>0</v>
      </c>
      <c r="E116" s="398">
        <v>1</v>
      </c>
      <c r="F116" s="92">
        <v>1</v>
      </c>
      <c r="G116" s="92">
        <v>0</v>
      </c>
      <c r="H116" s="92">
        <v>0</v>
      </c>
      <c r="I116" s="91"/>
      <c r="J116" s="91"/>
      <c r="K116" s="91"/>
    </row>
    <row r="117" spans="1:11">
      <c r="A117" s="79"/>
      <c r="B117" s="531"/>
      <c r="C117" s="74">
        <v>7102</v>
      </c>
      <c r="D117" s="74">
        <v>9917</v>
      </c>
      <c r="E117" s="74">
        <f>10195+11</f>
        <v>10206</v>
      </c>
      <c r="F117" s="74">
        <f>13496+75</f>
        <v>13571</v>
      </c>
      <c r="G117" s="74">
        <v>12153</v>
      </c>
      <c r="H117" s="74">
        <v>11538</v>
      </c>
      <c r="I117" s="91"/>
      <c r="J117" s="91"/>
      <c r="K117" s="91"/>
    </row>
    <row r="118" spans="1:11">
      <c r="A118" s="79"/>
      <c r="B118" s="531"/>
      <c r="I118" s="91"/>
      <c r="J118" s="91"/>
      <c r="K118" s="91"/>
    </row>
    <row r="119" spans="1:11">
      <c r="A119" s="82" t="s">
        <v>252</v>
      </c>
      <c r="B119" s="546"/>
      <c r="C119" s="101">
        <v>22969</v>
      </c>
      <c r="D119" s="101">
        <v>23551</v>
      </c>
      <c r="E119" s="101">
        <f>28706+1</f>
        <v>28707</v>
      </c>
      <c r="F119" s="101">
        <f>31845-65</f>
        <v>31780</v>
      </c>
      <c r="G119" s="101">
        <v>27960</v>
      </c>
      <c r="H119" s="101">
        <v>27931</v>
      </c>
      <c r="I119" s="91"/>
      <c r="J119" s="91"/>
      <c r="K119" s="91"/>
    </row>
    <row r="120" spans="1:11">
      <c r="A120" s="79"/>
      <c r="B120" s="539"/>
      <c r="C120" s="91"/>
      <c r="D120" s="91"/>
      <c r="E120" s="91"/>
      <c r="F120" s="91"/>
      <c r="G120" s="91"/>
      <c r="H120" s="91"/>
      <c r="I120" s="91"/>
      <c r="J120" s="91"/>
      <c r="K120" s="91"/>
    </row>
    <row r="121" spans="1:11">
      <c r="A121" s="73" t="s">
        <v>253</v>
      </c>
      <c r="B121" s="545"/>
      <c r="C121" s="100">
        <v>39696</v>
      </c>
      <c r="D121" s="100">
        <v>40075</v>
      </c>
      <c r="E121" s="100">
        <f>45320-44</f>
        <v>45276</v>
      </c>
      <c r="F121" s="100">
        <f>49798-660</f>
        <v>49138</v>
      </c>
      <c r="G121" s="100">
        <v>45714</v>
      </c>
      <c r="H121" s="100">
        <v>48717</v>
      </c>
      <c r="I121" s="91"/>
      <c r="J121" s="91"/>
      <c r="K121" s="91"/>
    </row>
    <row r="122" spans="1:11">
      <c r="B122" s="531"/>
    </row>
    <row r="124" spans="1:11" ht="15.5">
      <c r="A124" s="568" t="s">
        <v>254</v>
      </c>
      <c r="B124" s="537"/>
      <c r="C124" s="832" t="s">
        <v>657</v>
      </c>
      <c r="D124" s="833"/>
      <c r="E124" s="828"/>
      <c r="F124" s="828"/>
      <c r="G124" s="828"/>
      <c r="H124" s="828"/>
    </row>
    <row r="125" spans="1:11" ht="89">
      <c r="A125" s="569" t="s">
        <v>671</v>
      </c>
      <c r="B125" s="538"/>
      <c r="C125" s="72" t="s">
        <v>656</v>
      </c>
      <c r="D125" s="72" t="s">
        <v>734</v>
      </c>
      <c r="E125" s="72" t="s">
        <v>732</v>
      </c>
      <c r="F125" s="664" t="s">
        <v>849</v>
      </c>
      <c r="G125" s="67" t="s">
        <v>972</v>
      </c>
      <c r="H125" s="72" t="s">
        <v>964</v>
      </c>
    </row>
    <row r="126" spans="1:11" s="130" customFormat="1">
      <c r="A126" s="73" t="s">
        <v>255</v>
      </c>
      <c r="B126" s="550"/>
    </row>
    <row r="127" spans="1:11">
      <c r="A127" s="564" t="s">
        <v>414</v>
      </c>
      <c r="B127" s="531"/>
      <c r="C127" s="74">
        <v>-2179</v>
      </c>
      <c r="D127" s="71">
        <v>675</v>
      </c>
      <c r="E127" s="71">
        <v>133</v>
      </c>
      <c r="F127" s="71">
        <f>2302-680</f>
        <v>1622</v>
      </c>
      <c r="G127" s="71">
        <v>1886</v>
      </c>
      <c r="H127" s="71">
        <v>4253</v>
      </c>
    </row>
    <row r="128" spans="1:11">
      <c r="A128" s="403" t="s">
        <v>687</v>
      </c>
      <c r="B128" s="531"/>
      <c r="C128" s="74">
        <v>-16</v>
      </c>
      <c r="D128" s="74">
        <v>-32</v>
      </c>
      <c r="E128" s="74">
        <v>-128</v>
      </c>
      <c r="F128" s="71">
        <v>487</v>
      </c>
      <c r="G128" s="74">
        <v>-84</v>
      </c>
      <c r="H128" s="74">
        <v>-57</v>
      </c>
    </row>
    <row r="129" spans="1:11">
      <c r="A129" s="403" t="s">
        <v>415</v>
      </c>
      <c r="B129" s="531"/>
      <c r="C129" s="74">
        <v>2017</v>
      </c>
      <c r="D129" s="74">
        <v>2101</v>
      </c>
      <c r="E129" s="74">
        <v>2216</v>
      </c>
      <c r="F129" s="71">
        <v>2226</v>
      </c>
      <c r="G129" s="74">
        <v>2349</v>
      </c>
      <c r="H129" s="74">
        <v>2487</v>
      </c>
    </row>
    <row r="130" spans="1:11">
      <c r="A130" s="403" t="s">
        <v>688</v>
      </c>
      <c r="B130" s="531"/>
      <c r="C130" s="74">
        <v>3746</v>
      </c>
      <c r="D130" s="74">
        <v>1129</v>
      </c>
      <c r="E130" s="74">
        <v>214</v>
      </c>
      <c r="F130" s="71">
        <v>26</v>
      </c>
      <c r="G130" s="74">
        <v>1549</v>
      </c>
      <c r="H130" s="74">
        <v>-39</v>
      </c>
    </row>
    <row r="131" spans="1:11" ht="25">
      <c r="A131" s="403" t="s">
        <v>735</v>
      </c>
      <c r="B131" s="531"/>
      <c r="C131" s="74">
        <v>0</v>
      </c>
      <c r="D131" s="74">
        <v>0</v>
      </c>
      <c r="E131" s="74">
        <v>460</v>
      </c>
      <c r="F131" s="71">
        <v>0</v>
      </c>
      <c r="G131" s="74">
        <v>0</v>
      </c>
      <c r="H131" s="74"/>
    </row>
    <row r="132" spans="1:11">
      <c r="A132" s="403" t="s">
        <v>745</v>
      </c>
      <c r="B132" s="531"/>
      <c r="C132" s="74">
        <v>221</v>
      </c>
      <c r="D132" s="74">
        <v>-1</v>
      </c>
      <c r="E132" s="74">
        <v>14</v>
      </c>
      <c r="F132" s="74">
        <v>-151</v>
      </c>
      <c r="G132" s="74">
        <v>-122</v>
      </c>
      <c r="H132" s="74">
        <v>-15</v>
      </c>
      <c r="I132" s="91"/>
      <c r="J132" s="91"/>
      <c r="K132" s="91"/>
    </row>
    <row r="133" spans="1:11">
      <c r="A133" s="403" t="s">
        <v>746</v>
      </c>
      <c r="B133" s="531"/>
      <c r="C133" s="74">
        <v>246</v>
      </c>
      <c r="D133" s="74">
        <v>-10</v>
      </c>
      <c r="E133" s="74">
        <v>102</v>
      </c>
      <c r="F133" s="74">
        <v>-330</v>
      </c>
      <c r="G133" s="74">
        <v>-67</v>
      </c>
      <c r="H133" s="74">
        <v>-29</v>
      </c>
      <c r="I133" s="91"/>
      <c r="J133" s="91"/>
      <c r="K133" s="91"/>
    </row>
    <row r="134" spans="1:11">
      <c r="A134" s="403" t="s">
        <v>416</v>
      </c>
      <c r="B134" s="531"/>
      <c r="C134" s="74">
        <v>283</v>
      </c>
      <c r="D134" s="71">
        <v>367</v>
      </c>
      <c r="E134" s="71">
        <v>591</v>
      </c>
      <c r="F134" s="71">
        <v>800</v>
      </c>
      <c r="G134" s="71">
        <v>673</v>
      </c>
      <c r="H134" s="74">
        <v>631</v>
      </c>
      <c r="I134" s="91"/>
      <c r="J134" s="91"/>
      <c r="K134" s="91"/>
    </row>
    <row r="135" spans="1:11" ht="15" customHeight="1">
      <c r="A135" s="403" t="s">
        <v>417</v>
      </c>
      <c r="B135" s="531"/>
      <c r="C135" s="74">
        <v>-87</v>
      </c>
      <c r="D135" s="74">
        <v>-91</v>
      </c>
      <c r="E135" s="74">
        <v>199</v>
      </c>
      <c r="F135" s="71">
        <f>38+604</f>
        <v>642</v>
      </c>
      <c r="G135" s="74">
        <f>35-313</f>
        <v>-278</v>
      </c>
      <c r="H135" s="74">
        <f>-1-183</f>
        <v>-184</v>
      </c>
      <c r="I135" s="91"/>
      <c r="J135" s="91"/>
      <c r="K135" s="91"/>
    </row>
    <row r="136" spans="1:11">
      <c r="A136" s="403" t="s">
        <v>261</v>
      </c>
      <c r="B136" s="531"/>
      <c r="C136" s="74">
        <v>-129</v>
      </c>
      <c r="D136" s="74">
        <v>1209</v>
      </c>
      <c r="E136" s="74">
        <v>-486</v>
      </c>
      <c r="F136" s="74">
        <f>-1180+680</f>
        <v>-500</v>
      </c>
      <c r="G136" s="74">
        <v>2216</v>
      </c>
      <c r="H136" s="74">
        <v>258</v>
      </c>
      <c r="I136" s="91"/>
      <c r="J136" s="91"/>
    </row>
    <row r="137" spans="1:11">
      <c r="A137" s="403" t="s">
        <v>262</v>
      </c>
      <c r="B137" s="531"/>
      <c r="C137" s="74">
        <v>-60</v>
      </c>
      <c r="D137" s="74">
        <v>-392</v>
      </c>
      <c r="E137" s="74">
        <v>-540</v>
      </c>
      <c r="F137" s="74">
        <v>-206</v>
      </c>
      <c r="G137" s="74">
        <v>-150</v>
      </c>
      <c r="H137" s="74">
        <v>-324</v>
      </c>
      <c r="I137" s="91"/>
    </row>
    <row r="138" spans="1:11" s="102" customFormat="1">
      <c r="A138" s="73" t="s">
        <v>389</v>
      </c>
      <c r="B138" s="545"/>
      <c r="C138" s="100">
        <v>4042</v>
      </c>
      <c r="D138" s="100">
        <v>4955</v>
      </c>
      <c r="E138" s="100">
        <v>2775</v>
      </c>
      <c r="F138" s="100">
        <v>4616</v>
      </c>
      <c r="G138" s="100">
        <v>7972</v>
      </c>
      <c r="H138" s="100">
        <v>6981</v>
      </c>
      <c r="J138" s="71"/>
      <c r="K138" s="71"/>
    </row>
    <row r="139" spans="1:11">
      <c r="A139" s="564" t="s">
        <v>264</v>
      </c>
    </row>
    <row r="140" spans="1:11" ht="25">
      <c r="A140" s="403" t="s">
        <v>418</v>
      </c>
      <c r="B140" s="531"/>
      <c r="C140" s="74">
        <v>-3908</v>
      </c>
      <c r="D140" s="74">
        <v>-3255</v>
      </c>
      <c r="E140" s="74">
        <v>-3879</v>
      </c>
      <c r="F140" s="74">
        <v>-4841</v>
      </c>
      <c r="G140" s="74">
        <v>-4741</v>
      </c>
      <c r="H140" s="74">
        <v>-6037</v>
      </c>
    </row>
    <row r="141" spans="1:11">
      <c r="A141" s="403" t="s">
        <v>419</v>
      </c>
      <c r="B141" s="531"/>
      <c r="C141" s="74">
        <v>-33</v>
      </c>
      <c r="D141" s="74">
        <v>-28</v>
      </c>
      <c r="E141" s="74">
        <v>-28</v>
      </c>
      <c r="F141" s="74">
        <v>-16</v>
      </c>
      <c r="G141" s="74">
        <v>-5</v>
      </c>
      <c r="H141" s="74">
        <v>-3</v>
      </c>
    </row>
    <row r="142" spans="1:11">
      <c r="A142" s="403" t="s">
        <v>420</v>
      </c>
      <c r="B142" s="531"/>
      <c r="C142" s="74">
        <v>-105</v>
      </c>
      <c r="D142" s="74">
        <v>-1</v>
      </c>
      <c r="E142" s="74">
        <v>-120</v>
      </c>
      <c r="F142" s="120">
        <v>0</v>
      </c>
      <c r="G142" s="120">
        <v>0</v>
      </c>
      <c r="H142" s="120"/>
    </row>
    <row r="143" spans="1:11">
      <c r="A143" s="403" t="s">
        <v>747</v>
      </c>
      <c r="B143" s="531"/>
      <c r="C143" s="120">
        <v>0</v>
      </c>
      <c r="D143" s="120">
        <v>0</v>
      </c>
      <c r="E143" s="74">
        <v>-216</v>
      </c>
      <c r="F143" s="120">
        <v>0</v>
      </c>
      <c r="G143" s="120">
        <v>0</v>
      </c>
      <c r="H143" s="120"/>
    </row>
    <row r="144" spans="1:11">
      <c r="A144" s="403" t="s">
        <v>421</v>
      </c>
      <c r="B144" s="551"/>
      <c r="C144" s="120">
        <v>0</v>
      </c>
      <c r="D144" s="120">
        <v>0</v>
      </c>
      <c r="E144" s="74">
        <v>-14</v>
      </c>
      <c r="F144" s="120">
        <v>0</v>
      </c>
      <c r="G144" s="120">
        <v>0</v>
      </c>
      <c r="H144" s="74">
        <v>-3</v>
      </c>
    </row>
    <row r="145" spans="1:10">
      <c r="A145" s="558" t="s">
        <v>265</v>
      </c>
      <c r="B145" s="552"/>
      <c r="C145" s="77">
        <v>-4046</v>
      </c>
      <c r="D145" s="77">
        <v>-3284</v>
      </c>
      <c r="E145" s="77">
        <v>-4257</v>
      </c>
      <c r="F145" s="77">
        <v>-4857</v>
      </c>
      <c r="G145" s="77">
        <v>-4746</v>
      </c>
      <c r="H145" s="77">
        <v>-6043</v>
      </c>
    </row>
    <row r="146" spans="1:10" ht="25">
      <c r="A146" s="123" t="s">
        <v>422</v>
      </c>
      <c r="B146" s="531"/>
      <c r="C146" s="74">
        <v>18</v>
      </c>
      <c r="D146" s="71">
        <v>76</v>
      </c>
      <c r="E146" s="71">
        <v>28</v>
      </c>
      <c r="F146" s="71">
        <v>63</v>
      </c>
      <c r="G146" s="71">
        <v>25</v>
      </c>
      <c r="H146" s="71">
        <v>27</v>
      </c>
    </row>
    <row r="147" spans="1:10">
      <c r="A147" s="403" t="s">
        <v>423</v>
      </c>
      <c r="B147" s="531"/>
      <c r="C147" s="74">
        <v>6</v>
      </c>
      <c r="D147" s="71">
        <v>47</v>
      </c>
      <c r="E147" s="71">
        <v>72</v>
      </c>
      <c r="F147" s="120">
        <v>0</v>
      </c>
      <c r="G147" s="71">
        <v>2</v>
      </c>
      <c r="H147" s="71">
        <v>42</v>
      </c>
    </row>
    <row r="148" spans="1:10">
      <c r="A148" s="403" t="s">
        <v>424</v>
      </c>
      <c r="B148" s="539"/>
      <c r="C148" s="91">
        <v>45</v>
      </c>
      <c r="D148" s="71">
        <f>5+53</f>
        <v>58</v>
      </c>
      <c r="E148" s="71">
        <f>180+1</f>
        <v>181</v>
      </c>
      <c r="F148" s="120">
        <v>0</v>
      </c>
      <c r="G148" s="71">
        <f>3+79-2</f>
        <v>80</v>
      </c>
      <c r="H148" s="71">
        <f>144</f>
        <v>144</v>
      </c>
    </row>
    <row r="149" spans="1:10" s="130" customFormat="1">
      <c r="A149" s="567" t="s">
        <v>266</v>
      </c>
      <c r="B149" s="553"/>
      <c r="C149" s="131">
        <v>69</v>
      </c>
      <c r="D149" s="130">
        <v>181</v>
      </c>
      <c r="E149" s="130">
        <v>281</v>
      </c>
      <c r="F149" s="130">
        <v>63</v>
      </c>
      <c r="G149" s="130">
        <v>107</v>
      </c>
      <c r="H149" s="130">
        <v>213</v>
      </c>
    </row>
    <row r="150" spans="1:10" s="102" customFormat="1">
      <c r="A150" s="73" t="s">
        <v>267</v>
      </c>
      <c r="B150" s="545"/>
      <c r="C150" s="100">
        <v>-3977</v>
      </c>
      <c r="D150" s="100">
        <v>-3103</v>
      </c>
      <c r="E150" s="100">
        <v>-3976</v>
      </c>
      <c r="F150" s="100">
        <v>-4794</v>
      </c>
      <c r="G150" s="100">
        <v>-4639</v>
      </c>
      <c r="H150" s="100">
        <v>-5830</v>
      </c>
    </row>
    <row r="151" spans="1:10">
      <c r="A151" s="564" t="s">
        <v>268</v>
      </c>
    </row>
    <row r="152" spans="1:10">
      <c r="A152" s="403" t="s">
        <v>425</v>
      </c>
      <c r="B152" s="531"/>
      <c r="C152" s="74">
        <v>-60</v>
      </c>
      <c r="D152" s="74">
        <v>-170</v>
      </c>
      <c r="E152" s="74">
        <v>-170</v>
      </c>
      <c r="F152" s="74">
        <v>-170</v>
      </c>
      <c r="G152" s="74">
        <v>-982</v>
      </c>
      <c r="H152" s="74">
        <v>-1750</v>
      </c>
      <c r="I152" s="91"/>
      <c r="J152" s="91"/>
    </row>
    <row r="153" spans="1:10">
      <c r="A153" s="403" t="s">
        <v>426</v>
      </c>
      <c r="B153" s="531"/>
      <c r="C153" s="74">
        <v>-4407</v>
      </c>
      <c r="D153" s="74">
        <v>-3466</v>
      </c>
      <c r="E153" s="74">
        <v>-6067</v>
      </c>
      <c r="F153" s="74">
        <v>-6758</v>
      </c>
      <c r="G153" s="74">
        <v>-9074</v>
      </c>
      <c r="H153" s="74">
        <v>-3347</v>
      </c>
      <c r="I153" s="91"/>
      <c r="J153" s="91"/>
    </row>
    <row r="154" spans="1:10">
      <c r="A154" s="403" t="s">
        <v>736</v>
      </c>
      <c r="B154" s="531"/>
      <c r="C154" s="120">
        <v>0</v>
      </c>
      <c r="D154" s="120">
        <v>0</v>
      </c>
      <c r="E154" s="74">
        <v>-1061</v>
      </c>
      <c r="F154" s="120">
        <v>0</v>
      </c>
      <c r="G154" s="120"/>
      <c r="H154" s="74">
        <v>-37</v>
      </c>
      <c r="I154" s="91"/>
    </row>
    <row r="155" spans="1:10">
      <c r="A155" s="403" t="s">
        <v>427</v>
      </c>
      <c r="B155" s="531"/>
      <c r="C155" s="74">
        <v>-216</v>
      </c>
      <c r="D155" s="74">
        <v>-343</v>
      </c>
      <c r="E155" s="74">
        <v>-500</v>
      </c>
      <c r="F155" s="74">
        <v>-697</v>
      </c>
      <c r="G155" s="74">
        <v>-587</v>
      </c>
      <c r="H155" s="74">
        <v>-541</v>
      </c>
      <c r="I155" s="91"/>
      <c r="J155" s="91"/>
    </row>
    <row r="156" spans="1:10">
      <c r="A156" s="403" t="s">
        <v>689</v>
      </c>
      <c r="B156" s="531"/>
      <c r="C156" s="74">
        <v>-102</v>
      </c>
      <c r="D156" s="74">
        <v>-117</v>
      </c>
      <c r="E156" s="74">
        <v>-126</v>
      </c>
      <c r="F156" s="74">
        <v>-105</v>
      </c>
      <c r="G156" s="74">
        <v>-122</v>
      </c>
      <c r="H156" s="74">
        <v>-133</v>
      </c>
      <c r="I156" s="91"/>
      <c r="J156" s="91"/>
    </row>
    <row r="157" spans="1:10">
      <c r="A157" s="403" t="s">
        <v>421</v>
      </c>
      <c r="B157" s="531"/>
      <c r="C157" s="74">
        <v>-25</v>
      </c>
      <c r="D157" s="74">
        <v>-24</v>
      </c>
      <c r="E157" s="74">
        <v>-36</v>
      </c>
      <c r="F157" s="74">
        <v>-8</v>
      </c>
      <c r="G157" s="74">
        <v>-21</v>
      </c>
      <c r="H157" s="74">
        <v>-22</v>
      </c>
      <c r="I157" s="91"/>
      <c r="J157" s="91"/>
    </row>
    <row r="158" spans="1:10">
      <c r="A158" s="558" t="s">
        <v>265</v>
      </c>
      <c r="B158" s="552"/>
      <c r="C158" s="77">
        <v>-4810</v>
      </c>
      <c r="D158" s="77">
        <v>-4120</v>
      </c>
      <c r="E158" s="77">
        <v>-7960</v>
      </c>
      <c r="F158" s="77">
        <v>-7738</v>
      </c>
      <c r="G158" s="77">
        <v>-10786</v>
      </c>
      <c r="H158" s="77">
        <v>-5830</v>
      </c>
      <c r="I158" s="91"/>
      <c r="J158" s="91"/>
    </row>
    <row r="159" spans="1:10">
      <c r="A159" s="403" t="s">
        <v>429</v>
      </c>
      <c r="B159" s="552"/>
      <c r="C159" s="74">
        <v>3369</v>
      </c>
      <c r="D159" s="74">
        <v>2003</v>
      </c>
      <c r="E159" s="74">
        <v>9440</v>
      </c>
      <c r="F159" s="71">
        <v>7982</v>
      </c>
      <c r="G159" s="74">
        <v>6962</v>
      </c>
      <c r="H159" s="74">
        <v>4377</v>
      </c>
      <c r="I159" s="91"/>
      <c r="J159" s="91"/>
    </row>
    <row r="160" spans="1:10">
      <c r="A160" s="403" t="s">
        <v>430</v>
      </c>
      <c r="B160" s="552"/>
      <c r="C160" s="74">
        <v>67</v>
      </c>
      <c r="D160" s="74">
        <v>114</v>
      </c>
      <c r="E160" s="74">
        <v>38</v>
      </c>
      <c r="F160" s="71">
        <v>36</v>
      </c>
      <c r="G160" s="120">
        <v>0</v>
      </c>
      <c r="H160" s="120">
        <v>0</v>
      </c>
      <c r="I160" s="91"/>
      <c r="J160" s="91"/>
    </row>
    <row r="161" spans="1:9">
      <c r="A161" s="403" t="s">
        <v>428</v>
      </c>
      <c r="B161" s="531"/>
      <c r="C161" s="74">
        <v>1000</v>
      </c>
      <c r="D161" s="120">
        <v>0</v>
      </c>
      <c r="E161" s="120">
        <v>0</v>
      </c>
      <c r="F161" s="120">
        <v>0</v>
      </c>
      <c r="G161" s="120">
        <v>0</v>
      </c>
    </row>
    <row r="162" spans="1:9">
      <c r="A162" s="403" t="s">
        <v>807</v>
      </c>
      <c r="B162" s="531"/>
      <c r="C162" s="74"/>
      <c r="D162" s="120"/>
      <c r="E162" s="120"/>
      <c r="F162" s="71">
        <v>6</v>
      </c>
      <c r="G162" s="120">
        <v>0</v>
      </c>
      <c r="H162" s="71">
        <v>65</v>
      </c>
      <c r="I162" s="665"/>
    </row>
    <row r="163" spans="1:9">
      <c r="A163" s="558" t="s">
        <v>266</v>
      </c>
      <c r="B163" s="539"/>
      <c r="C163" s="131">
        <v>4436</v>
      </c>
      <c r="D163" s="131">
        <v>2117</v>
      </c>
      <c r="E163" s="131">
        <v>9478</v>
      </c>
      <c r="F163" s="71">
        <v>8024</v>
      </c>
      <c r="G163" s="131">
        <v>6962</v>
      </c>
      <c r="H163" s="131">
        <v>4442</v>
      </c>
      <c r="I163" s="665"/>
    </row>
    <row r="164" spans="1:9" s="102" customFormat="1">
      <c r="A164" s="73" t="s">
        <v>391</v>
      </c>
      <c r="B164" s="545"/>
      <c r="C164" s="100">
        <v>-374</v>
      </c>
      <c r="D164" s="100">
        <v>-2003</v>
      </c>
      <c r="E164" s="100">
        <v>1518</v>
      </c>
      <c r="F164" s="102">
        <v>286</v>
      </c>
      <c r="G164" s="100">
        <v>-3824</v>
      </c>
      <c r="H164" s="100">
        <v>-1388</v>
      </c>
    </row>
    <row r="165" spans="1:9" s="102" customFormat="1" ht="26.9" customHeight="1">
      <c r="A165" s="247" t="s">
        <v>392</v>
      </c>
      <c r="B165" s="545"/>
      <c r="C165" s="100">
        <v>-309</v>
      </c>
      <c r="D165" s="100">
        <v>-151</v>
      </c>
      <c r="E165" s="100">
        <v>317</v>
      </c>
      <c r="F165" s="102">
        <v>108</v>
      </c>
      <c r="G165" s="100">
        <v>-491</v>
      </c>
      <c r="H165" s="100">
        <v>-237</v>
      </c>
    </row>
    <row r="166" spans="1:9">
      <c r="A166" s="403" t="s">
        <v>431</v>
      </c>
      <c r="B166" s="531"/>
      <c r="C166" s="74">
        <v>3</v>
      </c>
      <c r="D166" s="74">
        <v>-3</v>
      </c>
      <c r="E166" s="74">
        <v>-24</v>
      </c>
      <c r="F166" s="71">
        <v>25</v>
      </c>
      <c r="G166" s="120">
        <v>0</v>
      </c>
      <c r="H166" s="74">
        <v>-1</v>
      </c>
    </row>
    <row r="167" spans="1:9">
      <c r="A167" s="558" t="s">
        <v>432</v>
      </c>
      <c r="B167" s="531"/>
      <c r="C167" s="74">
        <v>1204</v>
      </c>
      <c r="D167" s="74">
        <v>774</v>
      </c>
      <c r="E167" s="74">
        <v>623</v>
      </c>
      <c r="F167" s="71">
        <v>940</v>
      </c>
      <c r="G167" s="74">
        <v>1048</v>
      </c>
      <c r="H167" s="74">
        <v>557</v>
      </c>
    </row>
    <row r="168" spans="1:9">
      <c r="A168" s="558" t="s">
        <v>393</v>
      </c>
      <c r="B168" s="531"/>
      <c r="C168" s="74">
        <v>895</v>
      </c>
      <c r="D168" s="74">
        <v>623</v>
      </c>
      <c r="E168" s="74">
        <v>940</v>
      </c>
      <c r="F168" s="71">
        <v>1048</v>
      </c>
      <c r="G168" s="74">
        <v>557</v>
      </c>
      <c r="H168" s="74">
        <v>320</v>
      </c>
    </row>
    <row r="169" spans="1:9" s="130" customFormat="1">
      <c r="A169" s="80" t="s">
        <v>433</v>
      </c>
      <c r="B169" s="554"/>
      <c r="C169" s="94">
        <v>211</v>
      </c>
      <c r="D169" s="94">
        <v>146</v>
      </c>
      <c r="E169" s="94">
        <v>322</v>
      </c>
      <c r="F169" s="130">
        <v>372</v>
      </c>
      <c r="G169" s="94">
        <v>268</v>
      </c>
      <c r="H169" s="94">
        <v>232</v>
      </c>
    </row>
    <row r="171" spans="1:9">
      <c r="C171" s="91"/>
      <c r="D171" s="91"/>
    </row>
  </sheetData>
  <mergeCells count="3">
    <mergeCell ref="C2:H2"/>
    <mergeCell ref="C47:H47"/>
    <mergeCell ref="C124:H124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B1:BS19"/>
  <sheetViews>
    <sheetView workbookViewId="0">
      <selection activeCell="G12" sqref="G12"/>
    </sheetView>
  </sheetViews>
  <sheetFormatPr defaultColWidth="20.81640625" defaultRowHeight="30" customHeight="1"/>
  <cols>
    <col min="1" max="1" width="8.81640625" customWidth="1"/>
    <col min="2" max="2" width="8.54296875" customWidth="1"/>
    <col min="3" max="3" width="34.453125" customWidth="1"/>
    <col min="4" max="35" width="12.1796875" customWidth="1"/>
    <col min="36" max="36" width="12.81640625" style="106" customWidth="1"/>
    <col min="37" max="37" width="13.81640625" style="471" customWidth="1"/>
    <col min="38" max="41" width="12.81640625" customWidth="1"/>
    <col min="42" max="42" width="13.81640625" style="471" customWidth="1"/>
    <col min="43" max="43" width="13.453125" customWidth="1"/>
    <col min="44" max="46" width="12.81640625" customWidth="1"/>
    <col min="47" max="47" width="15.81640625" customWidth="1"/>
    <col min="48" max="51" width="12.81640625" customWidth="1"/>
    <col min="52" max="52" width="15.81640625" customWidth="1"/>
    <col min="53" max="56" width="12.81640625" customWidth="1"/>
    <col min="57" max="57" width="15.81640625" customWidth="1"/>
    <col min="58" max="61" width="12.81640625" customWidth="1"/>
    <col min="62" max="62" width="15.81640625" customWidth="1"/>
    <col min="63" max="66" width="12.81640625" customWidth="1"/>
    <col min="67" max="67" width="15.81640625" customWidth="1"/>
    <col min="68" max="71" width="12.81640625" customWidth="1"/>
  </cols>
  <sheetData>
    <row r="1" spans="2:71" ht="30" customHeight="1">
      <c r="L1" s="214"/>
      <c r="M1" s="214"/>
    </row>
    <row r="2" spans="2:71" ht="30" customHeight="1">
      <c r="C2" s="221" t="s">
        <v>320</v>
      </c>
      <c r="F2" s="333"/>
      <c r="L2" s="214"/>
      <c r="M2" s="214"/>
      <c r="BE2" s="214"/>
      <c r="BF2" s="214"/>
      <c r="BG2" s="214"/>
    </row>
    <row r="3" spans="2:71" ht="9" customHeight="1"/>
    <row r="4" spans="2:71" ht="36" customHeight="1">
      <c r="C4" s="237"/>
      <c r="D4" s="237"/>
      <c r="E4" s="380" t="s">
        <v>1022</v>
      </c>
      <c r="F4" s="380" t="s">
        <v>1000</v>
      </c>
      <c r="G4" s="380">
        <v>2025</v>
      </c>
      <c r="H4" s="380" t="s">
        <v>897</v>
      </c>
      <c r="I4" s="380" t="s">
        <v>898</v>
      </c>
      <c r="J4" s="380" t="s">
        <v>899</v>
      </c>
      <c r="K4" s="380" t="s">
        <v>900</v>
      </c>
      <c r="L4" s="380">
        <v>2024</v>
      </c>
      <c r="M4" s="380" t="s">
        <v>836</v>
      </c>
      <c r="N4" s="380" t="s">
        <v>835</v>
      </c>
      <c r="O4" s="380" t="s">
        <v>834</v>
      </c>
      <c r="P4" s="380" t="s">
        <v>825</v>
      </c>
      <c r="Q4" s="380">
        <v>2023</v>
      </c>
      <c r="R4" s="380" t="s">
        <v>774</v>
      </c>
      <c r="S4" s="380" t="s">
        <v>775</v>
      </c>
      <c r="T4" s="380" t="s">
        <v>776</v>
      </c>
      <c r="U4" s="380" t="s">
        <v>773</v>
      </c>
      <c r="V4" s="380">
        <v>2022</v>
      </c>
      <c r="W4" s="380" t="s">
        <v>704</v>
      </c>
      <c r="X4" s="380" t="s">
        <v>703</v>
      </c>
      <c r="Y4" s="380" t="s">
        <v>702</v>
      </c>
      <c r="Z4" s="380" t="s">
        <v>692</v>
      </c>
      <c r="AA4" s="380">
        <v>2021</v>
      </c>
      <c r="AB4" s="380" t="s">
        <v>623</v>
      </c>
      <c r="AC4" s="380" t="s">
        <v>624</v>
      </c>
      <c r="AD4" s="275" t="s">
        <v>625</v>
      </c>
      <c r="AE4" s="275" t="s">
        <v>626</v>
      </c>
      <c r="AF4" s="380">
        <v>2020</v>
      </c>
      <c r="AG4" s="380" t="s">
        <v>606</v>
      </c>
      <c r="AH4" s="380" t="s">
        <v>593</v>
      </c>
      <c r="AI4" s="275" t="s">
        <v>580</v>
      </c>
      <c r="AJ4" s="275" t="s">
        <v>573</v>
      </c>
      <c r="AK4" s="238">
        <v>2019</v>
      </c>
      <c r="AL4" s="380" t="s">
        <v>562</v>
      </c>
      <c r="AM4" s="380" t="s">
        <v>548</v>
      </c>
      <c r="AN4" s="380" t="s">
        <v>534</v>
      </c>
      <c r="AO4" s="275" t="s">
        <v>526</v>
      </c>
      <c r="AP4" s="238">
        <v>2018</v>
      </c>
      <c r="AQ4" s="306" t="s">
        <v>513</v>
      </c>
      <c r="AR4" s="306" t="s">
        <v>498</v>
      </c>
      <c r="AS4" s="272" t="s">
        <v>454</v>
      </c>
      <c r="AT4" s="275" t="s">
        <v>436</v>
      </c>
      <c r="AU4" s="238">
        <v>2017</v>
      </c>
      <c r="AV4" s="272" t="s">
        <v>437</v>
      </c>
      <c r="AW4" s="273" t="s">
        <v>438</v>
      </c>
      <c r="AX4" s="274" t="s">
        <v>439</v>
      </c>
      <c r="AY4" s="275" t="s">
        <v>440</v>
      </c>
      <c r="AZ4" s="238">
        <v>2016</v>
      </c>
      <c r="BA4" s="272" t="s">
        <v>441</v>
      </c>
      <c r="BB4" s="273" t="s">
        <v>442</v>
      </c>
      <c r="BC4" s="274" t="s">
        <v>443</v>
      </c>
      <c r="BD4" s="275" t="s">
        <v>444</v>
      </c>
      <c r="BE4" s="238">
        <v>2015</v>
      </c>
      <c r="BF4" s="272" t="s">
        <v>445</v>
      </c>
      <c r="BG4" s="273" t="s">
        <v>324</v>
      </c>
      <c r="BH4" s="274" t="s">
        <v>446</v>
      </c>
      <c r="BI4" s="275" t="s">
        <v>447</v>
      </c>
      <c r="BJ4" s="238">
        <v>2014</v>
      </c>
      <c r="BK4" s="272" t="s">
        <v>448</v>
      </c>
      <c r="BL4" s="273" t="s">
        <v>290</v>
      </c>
      <c r="BM4" s="274" t="s">
        <v>449</v>
      </c>
      <c r="BN4" s="275" t="s">
        <v>450</v>
      </c>
      <c r="BO4" s="238">
        <v>2013</v>
      </c>
      <c r="BP4" s="272" t="s">
        <v>451</v>
      </c>
      <c r="BQ4" s="273" t="s">
        <v>452</v>
      </c>
      <c r="BR4" s="274" t="s">
        <v>293</v>
      </c>
      <c r="BS4" s="275" t="s">
        <v>453</v>
      </c>
    </row>
    <row r="5" spans="2:71" ht="30" customHeight="1">
      <c r="C5" s="222" t="s">
        <v>42</v>
      </c>
      <c r="D5" s="223" t="s">
        <v>44</v>
      </c>
      <c r="E5" s="399"/>
      <c r="F5" s="399"/>
      <c r="G5" s="399">
        <f t="shared" ref="G5:G13" si="0">SUM(H5:K5)</f>
        <v>0</v>
      </c>
      <c r="H5" s="399"/>
      <c r="I5" s="399"/>
      <c r="J5" s="399"/>
      <c r="K5" s="399"/>
      <c r="L5" s="399">
        <f>SUM(R5:U5)</f>
        <v>0</v>
      </c>
      <c r="M5" s="399"/>
      <c r="N5" s="399"/>
      <c r="O5" s="399">
        <v>0</v>
      </c>
      <c r="P5" s="399">
        <v>0</v>
      </c>
      <c r="Q5" s="399">
        <f t="shared" ref="Q5:Q13" si="1">SUM(R5:U5)</f>
        <v>0</v>
      </c>
      <c r="R5" s="399">
        <v>0</v>
      </c>
      <c r="S5" s="399">
        <v>0</v>
      </c>
      <c r="T5" s="399">
        <v>0</v>
      </c>
      <c r="U5" s="399">
        <v>0</v>
      </c>
      <c r="V5" s="381">
        <f t="shared" ref="V5:V13" si="2">SUM(W5:Z5)</f>
        <v>5.0069999999999997</v>
      </c>
      <c r="W5" s="381">
        <v>1.601</v>
      </c>
      <c r="X5" s="381">
        <v>0.70299999999999996</v>
      </c>
      <c r="Y5" s="399">
        <v>1.25</v>
      </c>
      <c r="Z5" s="381">
        <v>1.4530000000000001</v>
      </c>
      <c r="AA5" s="515">
        <f t="shared" ref="AA5:AA13" si="3">SUM(AB5:AE5)</f>
        <v>5.1480000000000006</v>
      </c>
      <c r="AB5" s="399">
        <v>1.45</v>
      </c>
      <c r="AC5" s="520">
        <v>1</v>
      </c>
      <c r="AD5" s="515">
        <v>1.264</v>
      </c>
      <c r="AE5" s="399">
        <v>1.4339999999999999</v>
      </c>
      <c r="AF5" s="381">
        <v>4.54</v>
      </c>
      <c r="AG5" s="399">
        <f t="shared" ref="AG5:AG13" si="4">AF5-SUM(AH5:AJ5)</f>
        <v>0.96</v>
      </c>
      <c r="AH5" s="399">
        <v>1.1000000000000001</v>
      </c>
      <c r="AI5" s="399">
        <v>1.3</v>
      </c>
      <c r="AJ5" s="483">
        <v>1.18</v>
      </c>
      <c r="AK5" s="478">
        <v>3.78</v>
      </c>
      <c r="AL5" s="399">
        <v>0.83999999999999986</v>
      </c>
      <c r="AM5" s="381">
        <v>0.69</v>
      </c>
      <c r="AN5" s="381">
        <v>0.99</v>
      </c>
      <c r="AO5" s="278">
        <v>1.26</v>
      </c>
      <c r="AP5" s="472">
        <v>5.01</v>
      </c>
      <c r="AQ5" s="307">
        <v>1.4</v>
      </c>
      <c r="AR5" s="307">
        <v>1.0900000000000001</v>
      </c>
      <c r="AS5" s="276">
        <v>1.1000000000000001</v>
      </c>
      <c r="AT5" s="278">
        <v>1.42</v>
      </c>
      <c r="AU5" s="224">
        <v>6.45</v>
      </c>
      <c r="AV5" s="276">
        <v>1.7700000000000005</v>
      </c>
      <c r="AW5" s="277">
        <v>1.3599999999999999</v>
      </c>
      <c r="AX5" s="277">
        <v>1.8099999999999998</v>
      </c>
      <c r="AY5" s="278">
        <v>1.51</v>
      </c>
      <c r="AZ5" s="224">
        <v>6.37</v>
      </c>
      <c r="BA5" s="276">
        <v>2.16</v>
      </c>
      <c r="BB5" s="277">
        <v>1.73</v>
      </c>
      <c r="BC5" s="277">
        <v>1.27</v>
      </c>
      <c r="BD5" s="278">
        <v>1.21</v>
      </c>
      <c r="BE5" s="224">
        <v>4.91</v>
      </c>
      <c r="BF5" s="276">
        <v>1.46</v>
      </c>
      <c r="BG5" s="277">
        <v>1.4400000000000004</v>
      </c>
      <c r="BH5" s="277">
        <v>1.0399999999999998</v>
      </c>
      <c r="BI5" s="278">
        <v>0.97</v>
      </c>
      <c r="BJ5" s="224">
        <v>5.3968030000000002</v>
      </c>
      <c r="BK5" s="276">
        <v>1.4087710000000002</v>
      </c>
      <c r="BL5" s="277">
        <v>1.44</v>
      </c>
      <c r="BM5" s="277">
        <v>1.3</v>
      </c>
      <c r="BN5" s="278">
        <v>1.25</v>
      </c>
      <c r="BO5" s="224">
        <v>5.45</v>
      </c>
      <c r="BP5" s="276">
        <v>1.19</v>
      </c>
      <c r="BQ5" s="277">
        <v>1.26</v>
      </c>
      <c r="BR5" s="277">
        <v>1.48</v>
      </c>
      <c r="BS5" s="278">
        <v>1.52</v>
      </c>
    </row>
    <row r="6" spans="2:71" ht="30" customHeight="1">
      <c r="C6" s="222" t="s">
        <v>45</v>
      </c>
      <c r="D6" s="223" t="s">
        <v>2</v>
      </c>
      <c r="E6" s="381">
        <v>3.2444999999999999</v>
      </c>
      <c r="F6" s="381">
        <v>4.1269999999999998</v>
      </c>
      <c r="G6" s="381">
        <f t="shared" si="0"/>
        <v>12.240691781000001</v>
      </c>
      <c r="H6" s="381">
        <v>3.8606917809999994</v>
      </c>
      <c r="I6" s="381">
        <v>2.4300000000000002</v>
      </c>
      <c r="J6" s="381">
        <v>2.46</v>
      </c>
      <c r="K6" s="381">
        <f>0.48+3.01</f>
        <v>3.4899999999999998</v>
      </c>
      <c r="L6" s="381">
        <f t="shared" ref="L6:L13" si="5">SUM(M6:P6)</f>
        <v>11.507999999999999</v>
      </c>
      <c r="M6" s="381">
        <v>3.51</v>
      </c>
      <c r="N6" s="381">
        <v>2.5880000000000001</v>
      </c>
      <c r="O6" s="381">
        <f>1.86+0.34</f>
        <v>2.2000000000000002</v>
      </c>
      <c r="P6" s="520">
        <v>3.21</v>
      </c>
      <c r="Q6" s="381">
        <f t="shared" si="1"/>
        <v>12.667999999999999</v>
      </c>
      <c r="R6" s="381">
        <f>0.51+3.15+0.02</f>
        <v>3.68</v>
      </c>
      <c r="S6" s="399">
        <v>2.6840000000000002</v>
      </c>
      <c r="T6" s="381">
        <v>2.444</v>
      </c>
      <c r="U6" s="399">
        <f>3.84+0.02</f>
        <v>3.86</v>
      </c>
      <c r="V6" s="381">
        <f t="shared" si="2"/>
        <v>15.666</v>
      </c>
      <c r="W6" s="381">
        <f>4.369+0.005</f>
        <v>4.3739999999999997</v>
      </c>
      <c r="X6" s="399">
        <f>3.3+0.15</f>
        <v>3.4499999999999997</v>
      </c>
      <c r="Y6" s="399">
        <f>3.92+0.02</f>
        <v>3.94</v>
      </c>
      <c r="Z6" s="381">
        <f>3.337+0.545+0.02</f>
        <v>3.9020000000000001</v>
      </c>
      <c r="AA6" s="515">
        <f t="shared" si="3"/>
        <v>15.587999999999997</v>
      </c>
      <c r="AB6" s="399">
        <f>3.73+0.48</f>
        <v>4.21</v>
      </c>
      <c r="AC6" s="515">
        <v>3.64</v>
      </c>
      <c r="AD6" s="515">
        <f>3.51+0.004</f>
        <v>3.5139999999999998</v>
      </c>
      <c r="AE6" s="515">
        <f>4.22+0.004</f>
        <v>4.2239999999999993</v>
      </c>
      <c r="AF6" s="381">
        <f>1.94+10.56</f>
        <v>12.5</v>
      </c>
      <c r="AG6" s="399">
        <f t="shared" si="4"/>
        <v>3.7800000000000011</v>
      </c>
      <c r="AH6" s="399">
        <v>2.85</v>
      </c>
      <c r="AI6" s="399">
        <v>2.66</v>
      </c>
      <c r="AJ6" s="483">
        <v>3.21</v>
      </c>
      <c r="AK6" s="479">
        <v>13.875713506999997</v>
      </c>
      <c r="AL6" s="381">
        <v>3.4609675430000006</v>
      </c>
      <c r="AM6" s="381">
        <v>3.26</v>
      </c>
      <c r="AN6" s="381">
        <v>3.33</v>
      </c>
      <c r="AO6" s="278">
        <v>3.82</v>
      </c>
      <c r="AP6" s="472">
        <v>16.21</v>
      </c>
      <c r="AQ6" s="307">
        <v>4.3</v>
      </c>
      <c r="AR6" s="307">
        <v>4.3499999999999996</v>
      </c>
      <c r="AS6" s="276">
        <v>3.62</v>
      </c>
      <c r="AT6" s="278">
        <v>3.9350000000000001</v>
      </c>
      <c r="AU6" s="224">
        <v>18.41</v>
      </c>
      <c r="AV6" s="276">
        <v>4.3800000000000008</v>
      </c>
      <c r="AW6" s="277">
        <v>4.5699999999999985</v>
      </c>
      <c r="AX6" s="277">
        <v>4.5599999999999996</v>
      </c>
      <c r="AY6" s="278">
        <v>4.8899999999999997</v>
      </c>
      <c r="AZ6" s="224">
        <v>16.8</v>
      </c>
      <c r="BA6" s="276">
        <v>4.3500000000000014</v>
      </c>
      <c r="BB6" s="277">
        <v>4</v>
      </c>
      <c r="BC6" s="277">
        <v>4.1399999999999997</v>
      </c>
      <c r="BD6" s="278">
        <v>4.3099999999999996</v>
      </c>
      <c r="BE6" s="224">
        <v>18.559999999999999</v>
      </c>
      <c r="BF6" s="276">
        <v>4.759999999999998</v>
      </c>
      <c r="BG6" s="277">
        <v>5.0400000000000009</v>
      </c>
      <c r="BH6" s="277">
        <v>4.3599999999999994</v>
      </c>
      <c r="BI6" s="278">
        <v>4.4000000000000004</v>
      </c>
      <c r="BJ6" s="224">
        <v>15.370999407999999</v>
      </c>
      <c r="BK6" s="276">
        <v>4.1051981819999988</v>
      </c>
      <c r="BL6" s="277">
        <v>3.77</v>
      </c>
      <c r="BM6" s="277">
        <v>3.59</v>
      </c>
      <c r="BN6" s="278">
        <v>3.69</v>
      </c>
      <c r="BO6" s="224">
        <v>19.39</v>
      </c>
      <c r="BP6" s="276">
        <v>5.1100000000000003</v>
      </c>
      <c r="BQ6" s="277">
        <v>4.53</v>
      </c>
      <c r="BR6" s="277">
        <v>4.5999999999999996</v>
      </c>
      <c r="BS6" s="278">
        <v>5.15</v>
      </c>
    </row>
    <row r="7" spans="2:71" ht="30" customHeight="1">
      <c r="B7" s="333"/>
      <c r="C7" s="225" t="s">
        <v>33</v>
      </c>
      <c r="D7" s="226" t="s">
        <v>2</v>
      </c>
      <c r="E7" s="385">
        <v>0.411609</v>
      </c>
      <c r="F7" s="382">
        <v>0.50800000000000001</v>
      </c>
      <c r="G7" s="382">
        <f t="shared" si="0"/>
        <v>1.783702779</v>
      </c>
      <c r="H7" s="382">
        <v>0.51870277900000006</v>
      </c>
      <c r="I7" s="382">
        <v>0.35</v>
      </c>
      <c r="J7" s="382">
        <v>0.44</v>
      </c>
      <c r="K7" s="382">
        <v>0.47499999999999998</v>
      </c>
      <c r="L7" s="382">
        <f t="shared" si="5"/>
        <v>1.6860000000000002</v>
      </c>
      <c r="M7" s="382">
        <v>0.48599999999999999</v>
      </c>
      <c r="N7" s="382">
        <v>0.32</v>
      </c>
      <c r="O7" s="382">
        <v>0.34</v>
      </c>
      <c r="P7" s="382">
        <v>0.54</v>
      </c>
      <c r="Q7" s="382">
        <f t="shared" si="1"/>
        <v>1.6743999999999999</v>
      </c>
      <c r="R7" s="382">
        <v>0.50600000000000001</v>
      </c>
      <c r="S7" s="382">
        <f>0.24+0.06-0.005</f>
        <v>0.29499999999999998</v>
      </c>
      <c r="T7" s="382">
        <f>0.178+0.123+0.007+0.0354</f>
        <v>0.34339999999999998</v>
      </c>
      <c r="U7" s="496">
        <v>0.53</v>
      </c>
      <c r="V7" s="382">
        <f>SUM(W7:Z7)+0.01</f>
        <v>1.5707000000000002</v>
      </c>
      <c r="W7" s="382">
        <v>0.36070000000000002</v>
      </c>
      <c r="X7" s="496">
        <v>0.28000000000000003</v>
      </c>
      <c r="Y7" s="496">
        <v>0.38</v>
      </c>
      <c r="Z7" s="382">
        <v>0.54</v>
      </c>
      <c r="AA7" s="385">
        <f>SUM(AB7:AE7)</f>
        <v>1.71</v>
      </c>
      <c r="AB7" s="496">
        <v>0.48</v>
      </c>
      <c r="AC7" s="385">
        <f>1.23-SUM(AD7:AE7)</f>
        <v>0.33999999999999997</v>
      </c>
      <c r="AD7" s="385">
        <f>0.89-AE7</f>
        <v>0.41000000000000003</v>
      </c>
      <c r="AE7" s="496">
        <v>0.48</v>
      </c>
      <c r="AF7" s="382">
        <v>1.94</v>
      </c>
      <c r="AG7" s="496">
        <f t="shared" si="4"/>
        <v>0.54999999999999982</v>
      </c>
      <c r="AH7" s="496">
        <v>0.4</v>
      </c>
      <c r="AI7" s="496">
        <v>0.42</v>
      </c>
      <c r="AJ7" s="484">
        <v>0.56999999999999995</v>
      </c>
      <c r="AK7" s="480">
        <v>1.3816017022450002</v>
      </c>
      <c r="AL7" s="382">
        <v>0.40719917004499989</v>
      </c>
      <c r="AM7" s="382">
        <v>0.28999999999999998</v>
      </c>
      <c r="AN7" s="382">
        <v>0.3</v>
      </c>
      <c r="AO7" s="281">
        <v>0.39</v>
      </c>
      <c r="AP7" s="473">
        <v>0.97</v>
      </c>
      <c r="AQ7" s="308">
        <v>0.28000000000000003</v>
      </c>
      <c r="AR7" s="308">
        <v>0.18</v>
      </c>
      <c r="AS7" s="279">
        <v>0.26600000000000001</v>
      </c>
      <c r="AT7" s="281">
        <v>0.24</v>
      </c>
      <c r="AU7" s="227">
        <f>SUM(AU8:AU10)</f>
        <v>1.2999999999999998</v>
      </c>
      <c r="AV7" s="279">
        <v>0.35999999999999988</v>
      </c>
      <c r="AW7" s="280">
        <v>0.27999999999999992</v>
      </c>
      <c r="AX7" s="280">
        <v>0.33</v>
      </c>
      <c r="AY7" s="281">
        <f>SUM(AY8:AY10)</f>
        <v>0.32791900000000002</v>
      </c>
      <c r="AZ7" s="227">
        <f>SUM(AZ8:AZ10)</f>
        <v>1.3220000000000001</v>
      </c>
      <c r="BA7" s="279">
        <v>0.32200000000000006</v>
      </c>
      <c r="BB7" s="280">
        <v>0.22999999999999998</v>
      </c>
      <c r="BC7" s="280">
        <v>0.36000000000000004</v>
      </c>
      <c r="BD7" s="281">
        <v>0.41</v>
      </c>
      <c r="BE7" s="227">
        <v>1.63</v>
      </c>
      <c r="BF7" s="279">
        <v>0.42999999999999994</v>
      </c>
      <c r="BG7" s="280">
        <v>0.22999999999999998</v>
      </c>
      <c r="BH7" s="280">
        <v>0.44</v>
      </c>
      <c r="BI7" s="281">
        <v>0.54</v>
      </c>
      <c r="BJ7" s="227">
        <v>1.7895214260000003</v>
      </c>
      <c r="BK7" s="279">
        <v>0.46353000700000035</v>
      </c>
      <c r="BL7" s="280">
        <v>0.42</v>
      </c>
      <c r="BM7" s="280">
        <v>0.44</v>
      </c>
      <c r="BN7" s="281">
        <v>0.47</v>
      </c>
      <c r="BO7" s="227">
        <v>1.38</v>
      </c>
      <c r="BP7" s="279">
        <v>0.47</v>
      </c>
      <c r="BQ7" s="280">
        <v>0.31</v>
      </c>
      <c r="BR7" s="280">
        <v>0.32</v>
      </c>
      <c r="BS7" s="281">
        <v>0.28000000000000003</v>
      </c>
    </row>
    <row r="8" spans="2:71" ht="23.25" customHeight="1">
      <c r="B8" s="333"/>
      <c r="C8" s="228" t="s">
        <v>34</v>
      </c>
      <c r="D8" s="229" t="s">
        <v>2</v>
      </c>
      <c r="E8" s="786">
        <v>2.9654228000000001E-2</v>
      </c>
      <c r="F8" s="383">
        <v>5.6000000000000001E-2</v>
      </c>
      <c r="G8" s="383">
        <f t="shared" si="0"/>
        <v>0.21101851099999999</v>
      </c>
      <c r="H8" s="383">
        <v>5.7018511000000001E-2</v>
      </c>
      <c r="I8" s="383">
        <v>0.04</v>
      </c>
      <c r="J8" s="383">
        <v>0.06</v>
      </c>
      <c r="K8" s="383">
        <v>5.3999999999999999E-2</v>
      </c>
      <c r="L8" s="383">
        <f t="shared" si="5"/>
        <v>0.12</v>
      </c>
      <c r="M8" s="383">
        <v>3.9E-2</v>
      </c>
      <c r="N8" s="383">
        <v>0</v>
      </c>
      <c r="O8" s="383">
        <f>0.02-0.004</f>
        <v>1.6E-2</v>
      </c>
      <c r="P8" s="383">
        <v>6.5000000000000002E-2</v>
      </c>
      <c r="Q8" s="383">
        <f t="shared" si="1"/>
        <v>0.21139999999999998</v>
      </c>
      <c r="R8" s="383">
        <v>0.06</v>
      </c>
      <c r="S8" s="497">
        <v>5.6000000000000001E-2</v>
      </c>
      <c r="T8" s="383">
        <v>3.5400000000000001E-2</v>
      </c>
      <c r="U8" s="497">
        <v>0.06</v>
      </c>
      <c r="V8" s="383">
        <f t="shared" si="2"/>
        <v>0.33599999999999997</v>
      </c>
      <c r="W8" s="383">
        <v>0.06</v>
      </c>
      <c r="X8" s="383">
        <v>6.4000000000000001E-2</v>
      </c>
      <c r="Y8" s="383">
        <v>9.1999999999999998E-2</v>
      </c>
      <c r="Z8" s="383">
        <v>0.12</v>
      </c>
      <c r="AA8" s="386">
        <f t="shared" si="3"/>
        <v>0.43</v>
      </c>
      <c r="AB8" s="497">
        <v>0.14000000000000001</v>
      </c>
      <c r="AC8" s="386">
        <f>0.29-SUM(AD8:AE8)</f>
        <v>6.9999999999999979E-2</v>
      </c>
      <c r="AD8" s="386">
        <f>0.22-AE8</f>
        <v>7.9999999999999988E-2</v>
      </c>
      <c r="AE8" s="497">
        <v>0.14000000000000001</v>
      </c>
      <c r="AF8" s="383">
        <v>0.56999999999999995</v>
      </c>
      <c r="AG8" s="497">
        <f t="shared" si="4"/>
        <v>0.17999999999999994</v>
      </c>
      <c r="AH8" s="497">
        <v>0.15</v>
      </c>
      <c r="AI8" s="497">
        <v>0.13</v>
      </c>
      <c r="AJ8" s="485">
        <v>0.11</v>
      </c>
      <c r="AK8" s="481">
        <v>0.34162987124499994</v>
      </c>
      <c r="AL8" s="383">
        <v>7.3611050044999987E-2</v>
      </c>
      <c r="AM8" s="383">
        <v>0.1</v>
      </c>
      <c r="AN8" s="383">
        <v>0.08</v>
      </c>
      <c r="AO8" s="284">
        <v>0.09</v>
      </c>
      <c r="AP8" s="474">
        <v>0.25</v>
      </c>
      <c r="AQ8" s="309">
        <v>0.1</v>
      </c>
      <c r="AR8" s="309">
        <v>0.04</v>
      </c>
      <c r="AS8" s="282">
        <v>0.09</v>
      </c>
      <c r="AT8" s="284">
        <v>2.3E-2</v>
      </c>
      <c r="AU8" s="230">
        <v>0.34799999999999998</v>
      </c>
      <c r="AV8" s="282">
        <v>5.7999999999999996E-2</v>
      </c>
      <c r="AW8" s="283">
        <v>0.10999999999999999</v>
      </c>
      <c r="AX8" s="283">
        <v>7.9999999999999988E-2</v>
      </c>
      <c r="AY8" s="284">
        <v>0.1</v>
      </c>
      <c r="AZ8" s="231">
        <v>0.496</v>
      </c>
      <c r="BA8" s="282">
        <v>4.5999999999999985E-2</v>
      </c>
      <c r="BB8" s="283">
        <v>8.0000000000000016E-2</v>
      </c>
      <c r="BC8" s="283">
        <v>0.16999999999999998</v>
      </c>
      <c r="BD8" s="284">
        <v>0.2</v>
      </c>
      <c r="BE8" s="270">
        <v>0.81799999999999995</v>
      </c>
      <c r="BF8" s="282">
        <v>0.20799999999999996</v>
      </c>
      <c r="BG8" s="283">
        <v>9.9999999999999978E-2</v>
      </c>
      <c r="BH8" s="283">
        <v>0.22000000000000003</v>
      </c>
      <c r="BI8" s="284">
        <v>0.28999999999999998</v>
      </c>
      <c r="BJ8" s="270">
        <v>1.0375974620000001</v>
      </c>
      <c r="BK8" s="282">
        <v>0.27745330400000012</v>
      </c>
      <c r="BL8" s="283">
        <v>0.22</v>
      </c>
      <c r="BM8" s="283">
        <v>0.26</v>
      </c>
      <c r="BN8" s="284">
        <v>0.27</v>
      </c>
      <c r="BO8" s="270">
        <v>0.77</v>
      </c>
      <c r="BP8" s="282">
        <v>0.27</v>
      </c>
      <c r="BQ8" s="283">
        <v>0.18</v>
      </c>
      <c r="BR8" s="283">
        <v>0.15</v>
      </c>
      <c r="BS8" s="284">
        <v>0.16</v>
      </c>
    </row>
    <row r="9" spans="2:71" ht="22.5" customHeight="1">
      <c r="B9" s="333"/>
      <c r="C9" s="228" t="s">
        <v>35</v>
      </c>
      <c r="D9" s="229" t="s">
        <v>2</v>
      </c>
      <c r="E9" s="786">
        <v>6.7770880000000006E-2</v>
      </c>
      <c r="F9" s="383">
        <v>7.3999999999999996E-2</v>
      </c>
      <c r="G9" s="383">
        <f t="shared" si="0"/>
        <v>0.27759702400000003</v>
      </c>
      <c r="H9" s="383">
        <v>9.0597023999999998E-2</v>
      </c>
      <c r="I9" s="383">
        <v>0.05</v>
      </c>
      <c r="J9" s="383">
        <v>7.0000000000000007E-2</v>
      </c>
      <c r="K9" s="383">
        <v>6.7000000000000004E-2</v>
      </c>
      <c r="L9" s="383">
        <f t="shared" si="5"/>
        <v>0.33200000000000002</v>
      </c>
      <c r="M9" s="383">
        <v>6.4000000000000001E-2</v>
      </c>
      <c r="N9" s="383">
        <v>5.1999999999999998E-2</v>
      </c>
      <c r="O9" s="383">
        <v>0.08</v>
      </c>
      <c r="P9" s="383">
        <v>0.13600000000000001</v>
      </c>
      <c r="Q9" s="383">
        <f t="shared" si="1"/>
        <v>0.442</v>
      </c>
      <c r="R9" s="383">
        <v>0.11</v>
      </c>
      <c r="S9" s="497">
        <v>7.5999999999999998E-2</v>
      </c>
      <c r="T9" s="383">
        <v>0.123</v>
      </c>
      <c r="U9" s="383">
        <v>0.13300000000000001</v>
      </c>
      <c r="V9" s="383">
        <f t="shared" si="2"/>
        <v>0.32400000000000001</v>
      </c>
      <c r="W9" s="598">
        <v>6.6000000000000003E-2</v>
      </c>
      <c r="X9" s="383">
        <v>5.8000000000000003E-2</v>
      </c>
      <c r="Y9" s="383">
        <v>0.09</v>
      </c>
      <c r="Z9" s="383">
        <v>0.11</v>
      </c>
      <c r="AA9" s="386">
        <f t="shared" si="3"/>
        <v>0.42</v>
      </c>
      <c r="AB9" s="497">
        <v>0.06</v>
      </c>
      <c r="AC9" s="386">
        <f>0.36-SUM(AD9:AE9)</f>
        <v>0.11157</v>
      </c>
      <c r="AD9" s="490">
        <v>0.13</v>
      </c>
      <c r="AE9" s="485">
        <v>0.11842999999999999</v>
      </c>
      <c r="AF9" s="383">
        <v>0.4</v>
      </c>
      <c r="AG9" s="497">
        <f t="shared" si="4"/>
        <v>0.1100000000000001</v>
      </c>
      <c r="AH9" s="383">
        <f>0.29-SUM(AI9:AJ9)</f>
        <v>-1.0000000000000064E-2</v>
      </c>
      <c r="AI9" s="485">
        <v>0.2</v>
      </c>
      <c r="AJ9" s="485">
        <v>0.1</v>
      </c>
      <c r="AK9" s="481">
        <v>0.36198740600000001</v>
      </c>
      <c r="AL9" s="383">
        <v>5.9641453999999969E-2</v>
      </c>
      <c r="AM9" s="383">
        <v>0.05</v>
      </c>
      <c r="AN9" s="383">
        <v>0.13</v>
      </c>
      <c r="AO9" s="284">
        <v>0.12</v>
      </c>
      <c r="AP9" s="474">
        <v>0.31</v>
      </c>
      <c r="AQ9" s="309">
        <v>0.05</v>
      </c>
      <c r="AR9" s="309">
        <v>0.06</v>
      </c>
      <c r="AS9" s="282">
        <v>8.3000000000000004E-2</v>
      </c>
      <c r="AT9" s="284">
        <v>0.107</v>
      </c>
      <c r="AU9" s="230">
        <v>0.433</v>
      </c>
      <c r="AV9" s="282">
        <v>0.13300000000000001</v>
      </c>
      <c r="AW9" s="283">
        <v>0.08</v>
      </c>
      <c r="AX9" s="283">
        <v>0.129389</v>
      </c>
      <c r="AY9" s="284">
        <v>0.10061100000000001</v>
      </c>
      <c r="AZ9" s="231">
        <v>0.38300000000000001</v>
      </c>
      <c r="BA9" s="282">
        <v>0.123</v>
      </c>
      <c r="BB9" s="283">
        <v>0.08</v>
      </c>
      <c r="BC9" s="283">
        <v>0.1</v>
      </c>
      <c r="BD9" s="284">
        <v>0.09</v>
      </c>
      <c r="BE9" s="270">
        <v>0.316</v>
      </c>
      <c r="BF9" s="282">
        <v>0.06</v>
      </c>
      <c r="BG9" s="283">
        <v>3.5000000000000003E-2</v>
      </c>
      <c r="BH9" s="283">
        <v>0.110348</v>
      </c>
      <c r="BI9" s="284">
        <v>0.11</v>
      </c>
      <c r="BJ9" s="270">
        <v>0.37839795000000009</v>
      </c>
      <c r="BK9" s="282">
        <v>8.567395000000011E-2</v>
      </c>
      <c r="BL9" s="283">
        <v>0.12</v>
      </c>
      <c r="BM9" s="283">
        <v>0.1</v>
      </c>
      <c r="BN9" s="284">
        <v>0.2</v>
      </c>
      <c r="BO9" s="270">
        <v>0.37</v>
      </c>
      <c r="BP9" s="282">
        <v>7.0000000000000007E-2</v>
      </c>
      <c r="BQ9" s="283">
        <v>7.0000000000000007E-2</v>
      </c>
      <c r="BR9" s="283">
        <v>0.14000000000000001</v>
      </c>
      <c r="BS9" s="284">
        <v>0.09</v>
      </c>
    </row>
    <row r="10" spans="2:71" ht="24" customHeight="1">
      <c r="B10" s="333"/>
      <c r="C10" s="232" t="s">
        <v>36</v>
      </c>
      <c r="D10" s="233" t="s">
        <v>2</v>
      </c>
      <c r="E10" s="787">
        <v>0.24355005400000007</v>
      </c>
      <c r="F10" s="384">
        <v>0.34499999999999997</v>
      </c>
      <c r="G10" s="384">
        <f t="shared" si="0"/>
        <v>1.2004681830000001</v>
      </c>
      <c r="H10" s="384">
        <v>0.35746818300000005</v>
      </c>
      <c r="I10" s="384">
        <f>0.23-0.004</f>
        <v>0.22600000000000001</v>
      </c>
      <c r="J10" s="384">
        <v>0.28000000000000003</v>
      </c>
      <c r="K10" s="384">
        <v>0.33700000000000002</v>
      </c>
      <c r="L10" s="384">
        <f t="shared" si="5"/>
        <v>1.151</v>
      </c>
      <c r="M10" s="384">
        <v>0.37</v>
      </c>
      <c r="N10" s="384">
        <v>0.23499999999999999</v>
      </c>
      <c r="O10" s="384">
        <v>0.215</v>
      </c>
      <c r="P10" s="384">
        <v>0.33100000000000002</v>
      </c>
      <c r="Q10" s="384">
        <f t="shared" si="1"/>
        <v>1.0089999999999999</v>
      </c>
      <c r="R10" s="384">
        <v>0.34</v>
      </c>
      <c r="S10" s="498">
        <v>0.16</v>
      </c>
      <c r="T10" s="384">
        <v>0.17799999999999999</v>
      </c>
      <c r="U10" s="384">
        <v>0.33100000000000002</v>
      </c>
      <c r="V10" s="384">
        <f t="shared" si="2"/>
        <v>0.88600000000000012</v>
      </c>
      <c r="W10" s="384">
        <v>0.23</v>
      </c>
      <c r="X10" s="384">
        <v>0.154</v>
      </c>
      <c r="Y10" s="384">
        <v>0.186</v>
      </c>
      <c r="Z10" s="384">
        <v>0.316</v>
      </c>
      <c r="AA10" s="387">
        <f t="shared" si="3"/>
        <v>0.85000000000000009</v>
      </c>
      <c r="AB10" s="498">
        <v>0.28000000000000003</v>
      </c>
      <c r="AC10" s="387">
        <f>0.57-SUM(AD10:AE10)</f>
        <v>0.15456999999999999</v>
      </c>
      <c r="AD10" s="491">
        <v>0.19</v>
      </c>
      <c r="AE10" s="486">
        <v>0.22542999999999999</v>
      </c>
      <c r="AF10" s="384">
        <v>0.97</v>
      </c>
      <c r="AG10" s="498">
        <f t="shared" si="4"/>
        <v>0.36</v>
      </c>
      <c r="AH10" s="384">
        <v>0.15</v>
      </c>
      <c r="AI10" s="486">
        <v>0.1</v>
      </c>
      <c r="AJ10" s="486">
        <v>0.36</v>
      </c>
      <c r="AK10" s="482">
        <v>0.67798442499999989</v>
      </c>
      <c r="AL10" s="384">
        <v>0.27394666599999995</v>
      </c>
      <c r="AM10" s="384">
        <v>0.13</v>
      </c>
      <c r="AN10" s="384">
        <v>0.1</v>
      </c>
      <c r="AO10" s="287">
        <v>0.17</v>
      </c>
      <c r="AP10" s="475">
        <v>0.41</v>
      </c>
      <c r="AQ10" s="310">
        <v>0.13</v>
      </c>
      <c r="AR10" s="310">
        <v>0.08</v>
      </c>
      <c r="AS10" s="285">
        <v>9.2999999999999999E-2</v>
      </c>
      <c r="AT10" s="287">
        <v>0.11</v>
      </c>
      <c r="AU10" s="234">
        <v>0.51900000000000002</v>
      </c>
      <c r="AV10" s="285">
        <v>0.17899999999999999</v>
      </c>
      <c r="AW10" s="286">
        <v>0.1</v>
      </c>
      <c r="AX10" s="286">
        <v>0.122692</v>
      </c>
      <c r="AY10" s="287">
        <v>0.127308</v>
      </c>
      <c r="AZ10" s="235">
        <v>0.443</v>
      </c>
      <c r="BA10" s="285">
        <v>0.15300000000000002</v>
      </c>
      <c r="BB10" s="286">
        <v>0.08</v>
      </c>
      <c r="BC10" s="286">
        <v>0.09</v>
      </c>
      <c r="BD10" s="287">
        <v>0.13</v>
      </c>
      <c r="BE10" s="271">
        <v>0.495</v>
      </c>
      <c r="BF10" s="285">
        <v>0.16199999999999998</v>
      </c>
      <c r="BG10" s="286">
        <v>9.2000000000000026E-2</v>
      </c>
      <c r="BH10" s="286">
        <v>0.102116</v>
      </c>
      <c r="BI10" s="287">
        <v>0.14000000000000001</v>
      </c>
      <c r="BJ10" s="271">
        <v>0.37352601400000002</v>
      </c>
      <c r="BK10" s="285">
        <v>0.10040269900000004</v>
      </c>
      <c r="BL10" s="286">
        <v>7.0000000000000007E-2</v>
      </c>
      <c r="BM10" s="286">
        <v>0.08</v>
      </c>
      <c r="BN10" s="287">
        <v>0.13</v>
      </c>
      <c r="BO10" s="271">
        <v>0.24</v>
      </c>
      <c r="BP10" s="285">
        <v>0.13</v>
      </c>
      <c r="BQ10" s="286">
        <v>0.06</v>
      </c>
      <c r="BR10" s="286">
        <v>0.02</v>
      </c>
      <c r="BS10" s="287">
        <v>0.03</v>
      </c>
    </row>
    <row r="11" spans="2:71" ht="30" customHeight="1">
      <c r="B11" s="333"/>
      <c r="C11" s="222" t="s">
        <v>37</v>
      </c>
      <c r="D11" s="223" t="s">
        <v>32</v>
      </c>
      <c r="E11" s="515">
        <v>1.7423386409999999</v>
      </c>
      <c r="F11" s="399">
        <v>5.13</v>
      </c>
      <c r="G11" s="381">
        <f t="shared" si="0"/>
        <v>11.416429282999999</v>
      </c>
      <c r="H11" s="381">
        <v>4.3364292829999993</v>
      </c>
      <c r="I11" s="381">
        <v>0.75</v>
      </c>
      <c r="J11" s="381">
        <v>1.62</v>
      </c>
      <c r="K11" s="381">
        <v>4.71</v>
      </c>
      <c r="L11" s="381">
        <f t="shared" si="5"/>
        <v>10.271999999999998</v>
      </c>
      <c r="M11" s="381">
        <v>4.09</v>
      </c>
      <c r="N11" s="381">
        <v>0.55900000000000005</v>
      </c>
      <c r="O11" s="381">
        <v>1.2569999999999999</v>
      </c>
      <c r="P11" s="381">
        <v>4.3659999999999997</v>
      </c>
      <c r="Q11" s="381">
        <f t="shared" si="1"/>
        <v>10.347999999999999</v>
      </c>
      <c r="R11" s="381">
        <v>3.62</v>
      </c>
      <c r="S11" s="399">
        <v>0.51900000000000002</v>
      </c>
      <c r="T11" s="399">
        <v>1.7889999999999999</v>
      </c>
      <c r="U11" s="399">
        <v>4.42</v>
      </c>
      <c r="V11" s="381">
        <f t="shared" si="2"/>
        <v>10.54</v>
      </c>
      <c r="W11" s="381">
        <v>3.63</v>
      </c>
      <c r="X11" s="399">
        <v>0.71</v>
      </c>
      <c r="Y11" s="399">
        <v>1.68</v>
      </c>
      <c r="Z11" s="381">
        <v>4.5199999999999996</v>
      </c>
      <c r="AA11" s="515">
        <f t="shared" si="3"/>
        <v>12</v>
      </c>
      <c r="AB11" s="399">
        <v>3.99</v>
      </c>
      <c r="AC11" s="399">
        <v>0.79</v>
      </c>
      <c r="AD11" s="515">
        <f>7.22-AE11</f>
        <v>2.0699999999999994</v>
      </c>
      <c r="AE11" s="399">
        <v>5.15</v>
      </c>
      <c r="AF11" s="381">
        <v>11.63</v>
      </c>
      <c r="AG11" s="399">
        <f t="shared" si="4"/>
        <v>4.120000000000001</v>
      </c>
      <c r="AH11" s="399">
        <v>0.82</v>
      </c>
      <c r="AI11" s="399">
        <v>1.73</v>
      </c>
      <c r="AJ11" s="483">
        <v>4.96</v>
      </c>
      <c r="AK11" s="479">
        <v>10.85022220980645</v>
      </c>
      <c r="AL11" s="381">
        <v>3.7053466569999998</v>
      </c>
      <c r="AM11" s="381">
        <v>0.73</v>
      </c>
      <c r="AN11" s="381">
        <v>1.66</v>
      </c>
      <c r="AO11" s="278">
        <v>4.76</v>
      </c>
      <c r="AP11" s="472">
        <v>11.29</v>
      </c>
      <c r="AQ11" s="307">
        <v>3.86</v>
      </c>
      <c r="AR11" s="307">
        <v>0.7</v>
      </c>
      <c r="AS11" s="276">
        <v>1.05</v>
      </c>
      <c r="AT11" s="278">
        <v>5.68</v>
      </c>
      <c r="AU11" s="224">
        <v>12.2</v>
      </c>
      <c r="AV11" s="276">
        <v>4.2899999999999991</v>
      </c>
      <c r="AW11" s="277">
        <v>0.82000000000000028</v>
      </c>
      <c r="AX11" s="277">
        <v>1.8</v>
      </c>
      <c r="AY11" s="278">
        <v>5.3</v>
      </c>
      <c r="AZ11" s="224">
        <v>11.52</v>
      </c>
      <c r="BA11" s="276">
        <v>4.5199999999999996</v>
      </c>
      <c r="BB11" s="277">
        <v>0.57000000000000028</v>
      </c>
      <c r="BC11" s="277">
        <v>1.5899999999999999</v>
      </c>
      <c r="BD11" s="278">
        <v>4.84</v>
      </c>
      <c r="BE11" s="224">
        <v>11.51</v>
      </c>
      <c r="BF11" s="276">
        <v>3.92</v>
      </c>
      <c r="BG11" s="277">
        <v>0.75</v>
      </c>
      <c r="BH11" s="277">
        <v>1.67</v>
      </c>
      <c r="BI11" s="278">
        <v>5.17</v>
      </c>
      <c r="BJ11" s="224">
        <v>13.413327984875172</v>
      </c>
      <c r="BK11" s="276">
        <v>4.6377297848751731</v>
      </c>
      <c r="BL11" s="277">
        <v>0.95</v>
      </c>
      <c r="BM11" s="277">
        <v>1.9</v>
      </c>
      <c r="BN11" s="278">
        <v>5.92</v>
      </c>
      <c r="BO11" s="224">
        <v>15.62</v>
      </c>
      <c r="BP11" s="276">
        <v>5.03</v>
      </c>
      <c r="BQ11" s="277">
        <v>1.1599999999999999</v>
      </c>
      <c r="BR11" s="277">
        <v>1.94</v>
      </c>
      <c r="BS11" s="278">
        <v>7.49</v>
      </c>
    </row>
    <row r="12" spans="2:71" ht="30" customHeight="1">
      <c r="C12" s="222" t="s">
        <v>38</v>
      </c>
      <c r="D12" s="223" t="s">
        <v>2</v>
      </c>
      <c r="E12" s="381">
        <v>12.642784000000001</v>
      </c>
      <c r="F12" s="399">
        <v>14.07</v>
      </c>
      <c r="G12" s="381">
        <v>52.051168636999996</v>
      </c>
      <c r="H12" s="381">
        <v>13.51</v>
      </c>
      <c r="I12" s="381">
        <v>12.518426</v>
      </c>
      <c r="J12" s="381">
        <f>12.3-0.004</f>
        <v>12.296000000000001</v>
      </c>
      <c r="K12" s="381">
        <v>13.73</v>
      </c>
      <c r="L12" s="381">
        <f t="shared" si="5"/>
        <v>51.67</v>
      </c>
      <c r="M12" s="381">
        <v>13.16</v>
      </c>
      <c r="N12" s="399">
        <v>12.48</v>
      </c>
      <c r="O12" s="381">
        <v>12.38</v>
      </c>
      <c r="P12" s="381">
        <v>13.65</v>
      </c>
      <c r="Q12" s="381">
        <f>SUM(R12:U12)</f>
        <v>51.295544999999997</v>
      </c>
      <c r="R12" s="381">
        <v>13.028544999999999</v>
      </c>
      <c r="S12" s="381">
        <v>12.284000000000001</v>
      </c>
      <c r="T12" s="381">
        <v>12.321</v>
      </c>
      <c r="U12" s="381">
        <v>13.662000000000001</v>
      </c>
      <c r="V12" s="381">
        <f>SUM(W12:Z12)-0.001</f>
        <v>53.683999999999997</v>
      </c>
      <c r="W12" s="381">
        <v>13.375</v>
      </c>
      <c r="X12" s="399">
        <v>12.85</v>
      </c>
      <c r="Y12" s="399">
        <v>13.2</v>
      </c>
      <c r="Z12" s="381">
        <v>14.26</v>
      </c>
      <c r="AA12" s="515">
        <f t="shared" si="3"/>
        <v>53.966575999999996</v>
      </c>
      <c r="AB12" s="399">
        <v>13.91</v>
      </c>
      <c r="AC12" s="515">
        <v>13.299530000000001</v>
      </c>
      <c r="AD12" s="515">
        <v>12.967046</v>
      </c>
      <c r="AE12" s="399">
        <v>13.79</v>
      </c>
      <c r="AF12" s="381">
        <v>50.26</v>
      </c>
      <c r="AG12" s="399">
        <f t="shared" si="4"/>
        <v>13.32</v>
      </c>
      <c r="AH12" s="399">
        <v>12.34</v>
      </c>
      <c r="AI12" s="399">
        <v>11.35</v>
      </c>
      <c r="AJ12" s="483">
        <v>13.25</v>
      </c>
      <c r="AK12" s="478">
        <v>51.73</v>
      </c>
      <c r="AL12" s="399">
        <v>12.99</v>
      </c>
      <c r="AM12" s="381">
        <v>12.66</v>
      </c>
      <c r="AN12" s="381">
        <v>12.54</v>
      </c>
      <c r="AO12" s="278">
        <v>13.54</v>
      </c>
      <c r="AP12" s="472">
        <v>51.97</v>
      </c>
      <c r="AQ12" s="307">
        <v>13.13</v>
      </c>
      <c r="AR12" s="307">
        <v>12.83</v>
      </c>
      <c r="AS12" s="276">
        <v>12.59</v>
      </c>
      <c r="AT12" s="278">
        <v>13.42</v>
      </c>
      <c r="AU12" s="224">
        <v>51.37</v>
      </c>
      <c r="AV12" s="276">
        <v>13.059999999999995</v>
      </c>
      <c r="AW12" s="277">
        <v>12.610000000000003</v>
      </c>
      <c r="AX12" s="277">
        <v>12.4</v>
      </c>
      <c r="AY12" s="278">
        <v>13.31</v>
      </c>
      <c r="AZ12" s="224">
        <v>49.68</v>
      </c>
      <c r="BA12" s="276">
        <v>12.86</v>
      </c>
      <c r="BB12" s="277">
        <v>12.05</v>
      </c>
      <c r="BC12" s="277">
        <v>12.04</v>
      </c>
      <c r="BD12" s="278">
        <v>12.73</v>
      </c>
      <c r="BE12" s="224">
        <v>49.2</v>
      </c>
      <c r="BF12" s="276">
        <v>12.510000000000005</v>
      </c>
      <c r="BG12" s="277">
        <v>12.099999999999998</v>
      </c>
      <c r="BH12" s="277">
        <v>12.09</v>
      </c>
      <c r="BI12" s="278">
        <v>12.5</v>
      </c>
      <c r="BJ12" s="224">
        <v>47.904408326400002</v>
      </c>
      <c r="BK12" s="276">
        <v>12.162171326399999</v>
      </c>
      <c r="BL12" s="277">
        <v>11.86</v>
      </c>
      <c r="BM12" s="277">
        <v>11.63</v>
      </c>
      <c r="BN12" s="278">
        <v>12.25</v>
      </c>
      <c r="BO12" s="224">
        <v>47.9</v>
      </c>
      <c r="BP12" s="276">
        <v>12.18</v>
      </c>
      <c r="BQ12" s="277">
        <v>11.74</v>
      </c>
      <c r="BR12" s="277">
        <v>11.56</v>
      </c>
      <c r="BS12" s="278">
        <v>12.42</v>
      </c>
    </row>
    <row r="13" spans="2:71" ht="30" customHeight="1">
      <c r="C13" s="222" t="s">
        <v>39</v>
      </c>
      <c r="D13" s="223" t="s">
        <v>2</v>
      </c>
      <c r="E13" s="399">
        <v>6.07</v>
      </c>
      <c r="F13" s="399">
        <v>7.65</v>
      </c>
      <c r="G13" s="381">
        <f t="shared" si="0"/>
        <v>25.168266733999996</v>
      </c>
      <c r="H13" s="381">
        <v>6.9396366900000004</v>
      </c>
      <c r="I13" s="381">
        <v>5.5396824699999998</v>
      </c>
      <c r="J13" s="381">
        <v>5.6899475739999996</v>
      </c>
      <c r="K13" s="381">
        <v>6.9989999999999997</v>
      </c>
      <c r="L13" s="381">
        <f t="shared" si="5"/>
        <v>26.706000000000003</v>
      </c>
      <c r="M13" s="381">
        <v>7.0339999999999998</v>
      </c>
      <c r="N13" s="381">
        <v>6.1390000000000002</v>
      </c>
      <c r="O13" s="381">
        <v>6.1310000000000002</v>
      </c>
      <c r="P13" s="381">
        <v>7.4020000000000001</v>
      </c>
      <c r="Q13" s="381">
        <f t="shared" si="1"/>
        <v>30.745000000000001</v>
      </c>
      <c r="R13" s="381">
        <f>-0.02+8.31</f>
        <v>8.2900000000000009</v>
      </c>
      <c r="S13" s="381">
        <v>7.0519999999999996</v>
      </c>
      <c r="T13" s="381">
        <v>7.0369999999999999</v>
      </c>
      <c r="U13" s="381">
        <v>8.3659999999999997</v>
      </c>
      <c r="V13" s="381">
        <f t="shared" si="2"/>
        <v>31.141999999999999</v>
      </c>
      <c r="W13" s="381">
        <v>8.0619999999999994</v>
      </c>
      <c r="X13" s="399">
        <v>7.12</v>
      </c>
      <c r="Y13" s="399">
        <v>7.53</v>
      </c>
      <c r="Z13" s="381">
        <v>8.43</v>
      </c>
      <c r="AA13" s="515">
        <f t="shared" si="3"/>
        <v>33.408999999999999</v>
      </c>
      <c r="AB13" s="381">
        <v>8.8889999999999993</v>
      </c>
      <c r="AC13" s="399">
        <v>7.89</v>
      </c>
      <c r="AD13" s="515">
        <f>16.63-AE13</f>
        <v>7.8599999999999994</v>
      </c>
      <c r="AE13" s="399">
        <v>8.77</v>
      </c>
      <c r="AF13" s="381">
        <v>32.43</v>
      </c>
      <c r="AG13" s="399">
        <f t="shared" si="4"/>
        <v>8.7199999999999989</v>
      </c>
      <c r="AH13" s="399">
        <v>7.72</v>
      </c>
      <c r="AI13" s="399">
        <v>7.13</v>
      </c>
      <c r="AJ13" s="483">
        <v>8.86</v>
      </c>
      <c r="AK13" s="478">
        <v>33.729999999999997</v>
      </c>
      <c r="AL13" s="399">
        <v>8.7100000000000009</v>
      </c>
      <c r="AM13" s="381">
        <v>8</v>
      </c>
      <c r="AN13" s="381">
        <v>8.1</v>
      </c>
      <c r="AO13" s="278">
        <v>8.93</v>
      </c>
      <c r="AP13" s="472">
        <v>34.520000000000003</v>
      </c>
      <c r="AQ13" s="307">
        <v>9.15</v>
      </c>
      <c r="AR13" s="307">
        <v>8.17</v>
      </c>
      <c r="AS13" s="276">
        <v>7.93</v>
      </c>
      <c r="AT13" s="278">
        <v>9.2781699999999994</v>
      </c>
      <c r="AU13" s="224">
        <v>34.94</v>
      </c>
      <c r="AV13" s="276">
        <v>9.39</v>
      </c>
      <c r="AW13" s="277">
        <v>8.3499999999999979</v>
      </c>
      <c r="AX13" s="277">
        <v>8.08</v>
      </c>
      <c r="AY13" s="278">
        <v>9.1199999999999992</v>
      </c>
      <c r="AZ13" s="224">
        <v>32.04</v>
      </c>
      <c r="BA13" s="276">
        <v>8.8499999999999979</v>
      </c>
      <c r="BB13" s="277">
        <v>7.6100000000000012</v>
      </c>
      <c r="BC13" s="277">
        <v>7.2200000000000006</v>
      </c>
      <c r="BD13" s="278">
        <v>8.3699999999999992</v>
      </c>
      <c r="BE13" s="224">
        <v>35.94</v>
      </c>
      <c r="BF13" s="276">
        <v>9.48</v>
      </c>
      <c r="BG13" s="277">
        <v>8.43</v>
      </c>
      <c r="BH13" s="277">
        <v>8.58</v>
      </c>
      <c r="BI13" s="278">
        <v>9.0500000000000007</v>
      </c>
      <c r="BJ13" s="224">
        <v>36.433367670000003</v>
      </c>
      <c r="BK13" s="276">
        <v>9.6566086700000042</v>
      </c>
      <c r="BL13" s="277">
        <v>8.58</v>
      </c>
      <c r="BM13" s="277">
        <v>8.5399999999999991</v>
      </c>
      <c r="BN13" s="278">
        <v>10.17</v>
      </c>
      <c r="BO13" s="224">
        <v>41.3</v>
      </c>
      <c r="BP13" s="276">
        <v>10.59</v>
      </c>
      <c r="BQ13" s="277">
        <v>9.85</v>
      </c>
      <c r="BR13" s="277">
        <v>9.92</v>
      </c>
      <c r="BS13" s="278">
        <v>10.94</v>
      </c>
    </row>
    <row r="14" spans="2:71" ht="30" customHeight="1">
      <c r="C14" s="222" t="s">
        <v>40</v>
      </c>
      <c r="D14" s="223" t="s">
        <v>43</v>
      </c>
      <c r="E14" s="773">
        <v>6076.5680000000002</v>
      </c>
      <c r="F14" s="499">
        <v>6052</v>
      </c>
      <c r="G14" s="505" cm="1">
        <f t="array" aca="1" ref="G14" ca="1">INDIRECT(ADDRESS(14,MATCH(G4,$A$4:BD4,0)+5-COUNTA(H14:K14)))</f>
        <v>6047.99</v>
      </c>
      <c r="H14" s="505">
        <v>6047.99</v>
      </c>
      <c r="I14" s="505">
        <v>6033.777</v>
      </c>
      <c r="J14" s="505">
        <v>6012</v>
      </c>
      <c r="K14" s="505">
        <v>5999</v>
      </c>
      <c r="L14" s="505" cm="1">
        <f t="array" aca="1" ref="L14" ca="1">INDIRECT(ADDRESS(14,MATCH(L4,$A$4:BI4,0)+5-COUNTA(M14:P14)))</f>
        <v>5982</v>
      </c>
      <c r="M14" s="311">
        <v>5982</v>
      </c>
      <c r="N14" s="311">
        <v>5967</v>
      </c>
      <c r="O14" s="311">
        <v>5951</v>
      </c>
      <c r="P14" s="311">
        <v>5941</v>
      </c>
      <c r="Q14" s="311" cm="1">
        <f t="array" aca="1" ref="Q14" ca="1">INDIRECT(ADDRESS(14,MATCH(Q4,$A$4:BI4,0)+5-COUNTA(R14:U14)))</f>
        <v>5925.0079999999998</v>
      </c>
      <c r="R14" s="505">
        <v>5925.0079999999998</v>
      </c>
      <c r="S14" s="499">
        <v>5912</v>
      </c>
      <c r="T14" s="499">
        <v>5893</v>
      </c>
      <c r="U14" s="499">
        <v>5869</v>
      </c>
      <c r="V14" s="505" cm="1">
        <f t="array" aca="1" ref="V14" ca="1">INDIRECT(ADDRESS(14,MATCH(V4,$A$4:BN4,0)+5-COUNTA(W14:Z14)))</f>
        <v>5836</v>
      </c>
      <c r="W14" s="499">
        <v>5836</v>
      </c>
      <c r="X14" s="499">
        <v>5819</v>
      </c>
      <c r="Y14" s="499">
        <v>5806</v>
      </c>
      <c r="Z14" s="307">
        <v>5793</v>
      </c>
      <c r="AA14" s="505" cm="1">
        <f t="array" aca="1" ref="AA14" ca="1">INDIRECT(ADDRESS(14,MATCH(AA4,$A$4:BS4,0)+5-COUNTA(AB14:AE14)))</f>
        <v>5777</v>
      </c>
      <c r="AB14" s="499">
        <v>5777</v>
      </c>
      <c r="AC14" s="499">
        <v>5757</v>
      </c>
      <c r="AD14" s="505">
        <v>5740.5829999999996</v>
      </c>
      <c r="AE14" s="499">
        <v>5728</v>
      </c>
      <c r="AF14" s="505">
        <v>5715</v>
      </c>
      <c r="AG14" s="499">
        <v>5715</v>
      </c>
      <c r="AH14" s="499">
        <v>5693</v>
      </c>
      <c r="AI14" s="499">
        <v>5693</v>
      </c>
      <c r="AJ14" s="487">
        <v>5675</v>
      </c>
      <c r="AK14" s="476">
        <v>5650.8819999999996</v>
      </c>
      <c r="AL14" s="311">
        <v>5650.8819999999996</v>
      </c>
      <c r="AM14" s="311">
        <v>5644</v>
      </c>
      <c r="AN14" s="311">
        <v>5627</v>
      </c>
      <c r="AO14" s="311">
        <v>5612</v>
      </c>
      <c r="AP14" s="476">
        <v>5598</v>
      </c>
      <c r="AQ14" s="311">
        <v>5598</v>
      </c>
      <c r="AR14" s="311">
        <v>5579</v>
      </c>
      <c r="AS14" s="298">
        <v>5563</v>
      </c>
      <c r="AT14" s="300">
        <v>5546</v>
      </c>
      <c r="AU14" s="236">
        <v>5532.6809999999996</v>
      </c>
      <c r="AV14" s="298">
        <v>5532.6809999999996</v>
      </c>
      <c r="AW14" s="299">
        <v>5517</v>
      </c>
      <c r="AX14" s="299">
        <v>5501</v>
      </c>
      <c r="AY14" s="300">
        <v>5487.4</v>
      </c>
      <c r="AZ14" s="236">
        <v>5473.9970000000003</v>
      </c>
      <c r="BA14" s="298">
        <v>5473.9970000000003</v>
      </c>
      <c r="BB14" s="299">
        <v>5458</v>
      </c>
      <c r="BC14" s="299">
        <v>5446</v>
      </c>
      <c r="BD14" s="300">
        <v>5431</v>
      </c>
      <c r="BE14" s="236">
        <v>5418</v>
      </c>
      <c r="BF14" s="298">
        <v>5418</v>
      </c>
      <c r="BG14" s="299">
        <v>5404</v>
      </c>
      <c r="BH14" s="299">
        <v>5392</v>
      </c>
      <c r="BI14" s="300">
        <v>5383</v>
      </c>
      <c r="BJ14" s="236">
        <v>5377.7340000000004</v>
      </c>
      <c r="BK14" s="298">
        <v>5377.7340000000004</v>
      </c>
      <c r="BL14" s="288">
        <v>5369</v>
      </c>
      <c r="BM14" s="288">
        <v>5359</v>
      </c>
      <c r="BN14" s="289">
        <v>5354</v>
      </c>
      <c r="BO14" s="236">
        <v>5334</v>
      </c>
      <c r="BP14" s="298">
        <v>5334</v>
      </c>
      <c r="BQ14" s="288">
        <v>5324</v>
      </c>
      <c r="BR14" s="288">
        <v>5313</v>
      </c>
      <c r="BS14" s="289">
        <v>5307</v>
      </c>
    </row>
    <row r="15" spans="2:71" ht="34.5" customHeight="1">
      <c r="C15" s="218" t="s">
        <v>321</v>
      </c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488"/>
      <c r="AK15" s="477"/>
      <c r="AL15" s="208"/>
      <c r="AM15" s="213"/>
      <c r="AN15" s="213"/>
      <c r="AO15" s="213"/>
      <c r="AP15" s="477"/>
      <c r="AQ15" s="208"/>
      <c r="AR15" s="213"/>
      <c r="AS15" s="213"/>
      <c r="AT15" s="213"/>
      <c r="AU15" s="212"/>
      <c r="AV15" s="213"/>
      <c r="AW15" s="213"/>
      <c r="AX15" s="209"/>
      <c r="AY15" s="211"/>
      <c r="AZ15" s="212"/>
      <c r="BA15" s="213"/>
      <c r="BB15" s="213"/>
      <c r="BC15" s="209"/>
      <c r="BD15" s="211"/>
      <c r="BE15" s="210"/>
      <c r="BF15" s="213"/>
      <c r="BG15" s="213"/>
      <c r="BH15" s="209"/>
      <c r="BI15" s="211"/>
      <c r="BJ15" s="212"/>
      <c r="BK15" s="210"/>
      <c r="BL15" s="210"/>
      <c r="BM15" s="215"/>
      <c r="BN15" s="216"/>
      <c r="BO15" s="244"/>
      <c r="BP15" s="217"/>
      <c r="BQ15" s="217"/>
      <c r="BR15" s="215"/>
      <c r="BS15" s="216"/>
    </row>
    <row r="16" spans="2:71" ht="36" customHeight="1">
      <c r="C16" s="237"/>
      <c r="D16" s="237"/>
      <c r="E16" s="380" t="s">
        <v>1022</v>
      </c>
      <c r="F16" s="380" t="s">
        <v>1000</v>
      </c>
      <c r="G16" s="380">
        <v>2025</v>
      </c>
      <c r="H16" s="380" t="s">
        <v>897</v>
      </c>
      <c r="I16" s="380" t="s">
        <v>898</v>
      </c>
      <c r="J16" s="380" t="s">
        <v>899</v>
      </c>
      <c r="K16" s="380" t="s">
        <v>900</v>
      </c>
      <c r="L16" s="380">
        <v>2024</v>
      </c>
      <c r="M16" s="380" t="s">
        <v>836</v>
      </c>
      <c r="N16" s="380" t="s">
        <v>835</v>
      </c>
      <c r="O16" s="380" t="s">
        <v>834</v>
      </c>
      <c r="P16" s="380" t="s">
        <v>773</v>
      </c>
      <c r="Q16" s="380">
        <v>2023</v>
      </c>
      <c r="R16" s="380" t="s">
        <v>774</v>
      </c>
      <c r="S16" s="380" t="s">
        <v>775</v>
      </c>
      <c r="T16" s="380" t="s">
        <v>776</v>
      </c>
      <c r="U16" s="380" t="s">
        <v>773</v>
      </c>
      <c r="V16" s="380">
        <v>2022</v>
      </c>
      <c r="W16" s="380" t="s">
        <v>704</v>
      </c>
      <c r="X16" s="380" t="s">
        <v>703</v>
      </c>
      <c r="Y16" s="380" t="s">
        <v>702</v>
      </c>
      <c r="Z16" s="380" t="str">
        <f t="shared" ref="Z16:AE16" si="6">Z4</f>
        <v>Q1 2022</v>
      </c>
      <c r="AA16" s="380">
        <f t="shared" si="6"/>
        <v>2021</v>
      </c>
      <c r="AB16" s="380" t="str">
        <f t="shared" si="6"/>
        <v>Q4 2021</v>
      </c>
      <c r="AC16" s="380" t="str">
        <f t="shared" si="6"/>
        <v>Q3 2021</v>
      </c>
      <c r="AD16" s="380" t="str">
        <f t="shared" si="6"/>
        <v xml:space="preserve"> Q2 2021</v>
      </c>
      <c r="AE16" s="380" t="str">
        <f t="shared" si="6"/>
        <v xml:space="preserve"> Q1 2021</v>
      </c>
      <c r="AF16" s="380">
        <v>2020</v>
      </c>
      <c r="AG16" s="380" t="s">
        <v>606</v>
      </c>
      <c r="AH16" s="380" t="str">
        <f>AH4</f>
        <v>Q3 2020</v>
      </c>
      <c r="AI16" s="275" t="s">
        <v>580</v>
      </c>
      <c r="AJ16" s="275" t="s">
        <v>573</v>
      </c>
      <c r="AK16" s="238">
        <v>2019</v>
      </c>
      <c r="AL16" s="380" t="s">
        <v>562</v>
      </c>
      <c r="AM16" s="380" t="s">
        <v>548</v>
      </c>
      <c r="AN16" s="380" t="s">
        <v>534</v>
      </c>
      <c r="AO16" s="275" t="s">
        <v>526</v>
      </c>
      <c r="AP16" s="238">
        <v>2018</v>
      </c>
      <c r="AQ16" s="306" t="s">
        <v>513</v>
      </c>
      <c r="AR16" s="306" t="s">
        <v>498</v>
      </c>
      <c r="AS16" s="272" t="s">
        <v>454</v>
      </c>
      <c r="AT16" s="275" t="s">
        <v>436</v>
      </c>
      <c r="AU16" s="238">
        <v>2017</v>
      </c>
      <c r="AV16" s="272" t="s">
        <v>437</v>
      </c>
      <c r="AW16" s="273" t="s">
        <v>438</v>
      </c>
      <c r="AX16" s="274" t="s">
        <v>439</v>
      </c>
      <c r="AY16" s="275" t="s">
        <v>440</v>
      </c>
      <c r="AZ16" s="238">
        <v>2016</v>
      </c>
      <c r="BA16" s="272" t="s">
        <v>441</v>
      </c>
      <c r="BB16" s="273" t="s">
        <v>442</v>
      </c>
      <c r="BC16" s="274" t="s">
        <v>443</v>
      </c>
      <c r="BD16" s="275" t="s">
        <v>444</v>
      </c>
      <c r="BE16" s="238">
        <v>2015</v>
      </c>
      <c r="BF16" s="272" t="s">
        <v>445</v>
      </c>
      <c r="BG16" s="273" t="s">
        <v>324</v>
      </c>
      <c r="BH16" s="274" t="s">
        <v>446</v>
      </c>
      <c r="BI16" s="275" t="s">
        <v>447</v>
      </c>
      <c r="BJ16" s="238">
        <v>2014</v>
      </c>
      <c r="BK16" s="272" t="s">
        <v>448</v>
      </c>
      <c r="BL16" s="273" t="s">
        <v>290</v>
      </c>
      <c r="BM16" s="274" t="s">
        <v>449</v>
      </c>
      <c r="BN16" s="275" t="s">
        <v>450</v>
      </c>
      <c r="BO16" s="238">
        <v>2013</v>
      </c>
      <c r="BP16" s="272" t="s">
        <v>451</v>
      </c>
      <c r="BQ16" s="273" t="s">
        <v>452</v>
      </c>
      <c r="BR16" s="274" t="s">
        <v>293</v>
      </c>
      <c r="BS16" s="275" t="s">
        <v>453</v>
      </c>
    </row>
    <row r="17" spans="3:71" ht="39" customHeight="1">
      <c r="C17" s="225" t="s">
        <v>41</v>
      </c>
      <c r="D17" s="226" t="s">
        <v>44</v>
      </c>
      <c r="E17" s="496"/>
      <c r="F17" s="496"/>
      <c r="G17" s="496"/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  <c r="V17" s="382">
        <f>SUM(W17:Z17)</f>
        <v>3.97</v>
      </c>
      <c r="W17" s="382">
        <v>0.505</v>
      </c>
      <c r="X17" s="382">
        <v>0.7</v>
      </c>
      <c r="Y17" s="382">
        <v>1.27</v>
      </c>
      <c r="Z17" s="382">
        <v>1.4950000000000001</v>
      </c>
      <c r="AA17" s="496">
        <f>SUM(AB17:AE17)</f>
        <v>5.48</v>
      </c>
      <c r="AB17" s="496">
        <v>1.49</v>
      </c>
      <c r="AC17" s="496">
        <v>1.64</v>
      </c>
      <c r="AD17" s="496">
        <f>2.35-AE17</f>
        <v>1.1100000000000001</v>
      </c>
      <c r="AE17" s="496">
        <v>1.24</v>
      </c>
      <c r="AF17" s="496">
        <v>4.08</v>
      </c>
      <c r="AG17" s="399">
        <f>AF17-SUM(AH17:AJ17)</f>
        <v>1.1099999999999999</v>
      </c>
      <c r="AH17" s="496">
        <v>1.0900000000000001</v>
      </c>
      <c r="AI17" s="496">
        <v>0.99</v>
      </c>
      <c r="AJ17" s="489">
        <v>0.89</v>
      </c>
      <c r="AK17" s="480">
        <v>3.8</v>
      </c>
      <c r="AL17" s="382">
        <v>0.83999999999999986</v>
      </c>
      <c r="AM17" s="385">
        <v>0.78</v>
      </c>
      <c r="AN17" s="385">
        <v>0.99</v>
      </c>
      <c r="AO17" s="301">
        <v>1.2</v>
      </c>
      <c r="AP17" s="473">
        <v>4.87</v>
      </c>
      <c r="AQ17" s="330">
        <v>1.33</v>
      </c>
      <c r="AR17" s="312">
        <v>1.04</v>
      </c>
      <c r="AS17" s="292">
        <v>1.07</v>
      </c>
      <c r="AT17" s="301">
        <v>1.43</v>
      </c>
      <c r="AU17" s="239">
        <f>SUM(AU18:AU19)</f>
        <v>6.7715999999999994</v>
      </c>
      <c r="AV17" s="292">
        <v>1.7615999999999996</v>
      </c>
      <c r="AW17" s="293">
        <v>1.4499999999999997</v>
      </c>
      <c r="AX17" s="293">
        <v>1.77</v>
      </c>
      <c r="AY17" s="301">
        <v>1.79</v>
      </c>
      <c r="AZ17" s="239">
        <f>SUM(AZ18:AZ19)</f>
        <v>6.0625</v>
      </c>
      <c r="BA17" s="292">
        <v>1.9625000000000004</v>
      </c>
      <c r="BB17" s="293">
        <v>1.6399999999999997</v>
      </c>
      <c r="BC17" s="293">
        <v>1.24</v>
      </c>
      <c r="BD17" s="301">
        <v>1.22</v>
      </c>
      <c r="BE17" s="239">
        <v>5.0860000000000003</v>
      </c>
      <c r="BF17" s="292">
        <v>1.4260000000000002</v>
      </c>
      <c r="BG17" s="293">
        <v>1.37</v>
      </c>
      <c r="BH17" s="293">
        <v>1.1500000000000001</v>
      </c>
      <c r="BI17" s="301">
        <v>1.1399999999999999</v>
      </c>
      <c r="BJ17" s="239">
        <v>4.8798987900000004</v>
      </c>
      <c r="BK17" s="292">
        <v>1.3474747900000006</v>
      </c>
      <c r="BL17" s="293">
        <v>1.34</v>
      </c>
      <c r="BM17" s="280">
        <v>1.18</v>
      </c>
      <c r="BN17" s="281">
        <v>1.01</v>
      </c>
      <c r="BO17" s="227">
        <v>5.48</v>
      </c>
      <c r="BP17" s="279">
        <v>1.2</v>
      </c>
      <c r="BQ17" s="280">
        <v>1.33</v>
      </c>
      <c r="BR17" s="280">
        <v>1.45</v>
      </c>
      <c r="BS17" s="281">
        <v>1.51</v>
      </c>
    </row>
    <row r="18" spans="3:71" ht="36.75" customHeight="1">
      <c r="C18" s="240" t="s">
        <v>360</v>
      </c>
      <c r="D18" s="229" t="s">
        <v>44</v>
      </c>
      <c r="E18" s="497"/>
      <c r="F18" s="497"/>
      <c r="G18" s="497"/>
      <c r="H18" s="497"/>
      <c r="I18" s="497"/>
      <c r="J18" s="497"/>
      <c r="K18" s="497"/>
      <c r="L18" s="497"/>
      <c r="M18" s="497"/>
      <c r="N18" s="497"/>
      <c r="O18" s="497"/>
      <c r="P18" s="497"/>
      <c r="Q18" s="497"/>
      <c r="R18" s="497"/>
      <c r="S18" s="497"/>
      <c r="T18" s="497"/>
      <c r="U18" s="497"/>
      <c r="V18" s="383">
        <f>SUM(W18:Z18)</f>
        <v>2.7</v>
      </c>
      <c r="W18" s="383">
        <v>0.33600000000000002</v>
      </c>
      <c r="X18" s="383">
        <v>0.51800000000000002</v>
      </c>
      <c r="Y18" s="383">
        <v>0.86299999999999999</v>
      </c>
      <c r="Z18" s="383">
        <v>0.98299999999999998</v>
      </c>
      <c r="AA18" s="383">
        <f>SUM(AB18:AE18)</f>
        <v>3.6080000000000001</v>
      </c>
      <c r="AB18" s="497">
        <v>0.83</v>
      </c>
      <c r="AC18" s="383">
        <f>2.778-SUM(AD18:AE18)</f>
        <v>1.0880000000000001</v>
      </c>
      <c r="AD18" s="497">
        <f>1.69-AE18</f>
        <v>0.73</v>
      </c>
      <c r="AE18" s="497">
        <v>0.96</v>
      </c>
      <c r="AF18" s="497">
        <v>3.27</v>
      </c>
      <c r="AG18" s="399">
        <f>AF18-SUM(AH18:AJ18)</f>
        <v>0.9700000000000002</v>
      </c>
      <c r="AH18" s="497">
        <f>2.3-1.47</f>
        <v>0.82999999999999985</v>
      </c>
      <c r="AI18" s="497">
        <f>1.47-0.74</f>
        <v>0.73</v>
      </c>
      <c r="AJ18" s="490">
        <v>0.74</v>
      </c>
      <c r="AK18" s="481">
        <v>3</v>
      </c>
      <c r="AL18" s="383">
        <v>0.62000000000000011</v>
      </c>
      <c r="AM18" s="386">
        <v>0.63</v>
      </c>
      <c r="AN18" s="386">
        <v>0.82</v>
      </c>
      <c r="AO18" s="302">
        <v>0.93</v>
      </c>
      <c r="AP18" s="474">
        <v>3.68</v>
      </c>
      <c r="AQ18" s="331">
        <v>1.08</v>
      </c>
      <c r="AR18" s="313">
        <v>0.94</v>
      </c>
      <c r="AS18" s="294">
        <v>0.71</v>
      </c>
      <c r="AT18" s="302">
        <v>0.95</v>
      </c>
      <c r="AU18" s="241">
        <v>4.8895999999999997</v>
      </c>
      <c r="AV18" s="294">
        <v>1.4845999999999999</v>
      </c>
      <c r="AW18" s="295">
        <v>1.18</v>
      </c>
      <c r="AX18" s="295">
        <v>1.1200000000000001</v>
      </c>
      <c r="AY18" s="302">
        <v>1.29</v>
      </c>
      <c r="AZ18" s="241">
        <v>4.657</v>
      </c>
      <c r="BA18" s="294">
        <v>1.4790000000000001</v>
      </c>
      <c r="BB18" s="295">
        <v>1.278</v>
      </c>
      <c r="BC18" s="295">
        <v>0.91799999999999993</v>
      </c>
      <c r="BD18" s="302">
        <v>0.98199999999999998</v>
      </c>
      <c r="BE18" s="241">
        <v>3.76</v>
      </c>
      <c r="BF18" s="294">
        <v>1.0699999999999998</v>
      </c>
      <c r="BG18" s="295">
        <v>0.98</v>
      </c>
      <c r="BH18" s="295">
        <v>0.876</v>
      </c>
      <c r="BI18" s="302">
        <v>0.83</v>
      </c>
      <c r="BJ18" s="241">
        <v>3.5229002200000004</v>
      </c>
      <c r="BK18" s="294">
        <v>0.99129805000000015</v>
      </c>
      <c r="BL18" s="295">
        <v>0.93</v>
      </c>
      <c r="BM18" s="283">
        <v>0.88</v>
      </c>
      <c r="BN18" s="284">
        <v>0.72</v>
      </c>
      <c r="BO18" s="270">
        <v>3.67</v>
      </c>
      <c r="BP18" s="282">
        <v>0.79</v>
      </c>
      <c r="BQ18" s="283">
        <v>0.83</v>
      </c>
      <c r="BR18" s="283">
        <v>0.94</v>
      </c>
      <c r="BS18" s="290">
        <v>1.1100000000000001</v>
      </c>
    </row>
    <row r="19" spans="3:71" ht="37.5" customHeight="1">
      <c r="C19" s="242" t="s">
        <v>359</v>
      </c>
      <c r="D19" s="233" t="s">
        <v>44</v>
      </c>
      <c r="E19" s="498"/>
      <c r="F19" s="498"/>
      <c r="G19" s="498"/>
      <c r="H19" s="498"/>
      <c r="I19" s="498"/>
      <c r="J19" s="498"/>
      <c r="K19" s="498"/>
      <c r="L19" s="498"/>
      <c r="M19" s="498"/>
      <c r="N19" s="498"/>
      <c r="O19" s="498"/>
      <c r="P19" s="498"/>
      <c r="Q19" s="498"/>
      <c r="R19" s="498"/>
      <c r="S19" s="498"/>
      <c r="T19" s="498"/>
      <c r="U19" s="498"/>
      <c r="V19" s="384">
        <f>SUM(W19:Z19)</f>
        <v>1.2757999999999998</v>
      </c>
      <c r="W19" s="384">
        <v>0.16880000000000001</v>
      </c>
      <c r="X19" s="384">
        <v>0.184</v>
      </c>
      <c r="Y19" s="384">
        <v>0.41</v>
      </c>
      <c r="Z19" s="384">
        <v>0.51300000000000001</v>
      </c>
      <c r="AA19" s="384">
        <f>SUM(AB19:AE19)</f>
        <v>1.859</v>
      </c>
      <c r="AB19" s="498">
        <v>0.65</v>
      </c>
      <c r="AC19" s="384">
        <f>1.209-SUM(AD19:AE19)</f>
        <v>0.54899999999999993</v>
      </c>
      <c r="AD19" s="498">
        <f>AD17-AD18</f>
        <v>0.38000000000000012</v>
      </c>
      <c r="AE19" s="498">
        <v>0.28000000000000003</v>
      </c>
      <c r="AF19" s="498">
        <v>0.81</v>
      </c>
      <c r="AG19" s="399">
        <f>AF19-SUM(AH19:AJ19)</f>
        <v>0.13999999999999979</v>
      </c>
      <c r="AH19" s="498">
        <f>AH17-AH18</f>
        <v>0.26000000000000023</v>
      </c>
      <c r="AI19" s="498">
        <f>AI17-AI18</f>
        <v>0.26</v>
      </c>
      <c r="AJ19" s="491">
        <v>0.15</v>
      </c>
      <c r="AK19" s="482">
        <v>0.79999999999999982</v>
      </c>
      <c r="AL19" s="384">
        <v>0.21999999999999975</v>
      </c>
      <c r="AM19" s="387">
        <v>0.14000000000000001</v>
      </c>
      <c r="AN19" s="387">
        <v>0.17000000000000004</v>
      </c>
      <c r="AO19" s="303">
        <v>0.27</v>
      </c>
      <c r="AP19" s="475">
        <v>1.19</v>
      </c>
      <c r="AQ19" s="332">
        <v>0.25</v>
      </c>
      <c r="AR19" s="314">
        <v>0.1</v>
      </c>
      <c r="AS19" s="296">
        <v>0.36</v>
      </c>
      <c r="AT19" s="303">
        <v>0.48</v>
      </c>
      <c r="AU19" s="243">
        <v>1.8819999999999999</v>
      </c>
      <c r="AV19" s="296">
        <v>0.27699999999999991</v>
      </c>
      <c r="AW19" s="297">
        <v>0.27</v>
      </c>
      <c r="AX19" s="297">
        <v>0.64999999999999991</v>
      </c>
      <c r="AY19" s="303">
        <v>0.5</v>
      </c>
      <c r="AZ19" s="243">
        <v>1.4055</v>
      </c>
      <c r="BA19" s="296">
        <v>0.48350000000000026</v>
      </c>
      <c r="BB19" s="297">
        <v>0.36199999999999966</v>
      </c>
      <c r="BC19" s="297">
        <v>0.32200000000000006</v>
      </c>
      <c r="BD19" s="303">
        <v>0.23799999999999999</v>
      </c>
      <c r="BE19" s="243">
        <v>1.3260000000000001</v>
      </c>
      <c r="BF19" s="296">
        <v>0.35600000000000009</v>
      </c>
      <c r="BG19" s="297">
        <v>0.3899999999999999</v>
      </c>
      <c r="BH19" s="297">
        <v>0.27400000000000008</v>
      </c>
      <c r="BI19" s="303">
        <v>0.30999999999999994</v>
      </c>
      <c r="BJ19" s="243">
        <v>1.3569985699999998</v>
      </c>
      <c r="BK19" s="296">
        <v>0.35617672999999983</v>
      </c>
      <c r="BL19" s="297">
        <v>0.42</v>
      </c>
      <c r="BM19" s="286">
        <v>0.3</v>
      </c>
      <c r="BN19" s="287">
        <v>0.28999999999999998</v>
      </c>
      <c r="BO19" s="271">
        <v>1.81</v>
      </c>
      <c r="BP19" s="285">
        <v>0.41</v>
      </c>
      <c r="BQ19" s="286">
        <v>0.5</v>
      </c>
      <c r="BR19" s="286">
        <v>0.51</v>
      </c>
      <c r="BS19" s="291">
        <v>0.4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>
    <pageSetUpPr fitToPage="1"/>
  </sheetPr>
  <dimension ref="A1:G60"/>
  <sheetViews>
    <sheetView topLeftCell="A18" workbookViewId="0">
      <selection activeCell="F60" sqref="F60"/>
    </sheetView>
  </sheetViews>
  <sheetFormatPr defaultColWidth="9.1796875" defaultRowHeight="14.5"/>
  <cols>
    <col min="1" max="1" width="51.81640625" style="10" customWidth="1"/>
    <col min="2" max="2" width="25.1796875" style="10" customWidth="1"/>
    <col min="3" max="3" width="22.81640625" style="10" customWidth="1"/>
    <col min="4" max="4" width="15.81640625" style="10" customWidth="1"/>
    <col min="5" max="16384" width="9.1796875" style="10"/>
  </cols>
  <sheetData>
    <row r="1" spans="1:5" ht="45" customHeight="1">
      <c r="A1" s="17" t="s">
        <v>326</v>
      </c>
      <c r="B1" s="18"/>
      <c r="C1" s="19"/>
      <c r="D1" s="56"/>
      <c r="E1" s="5"/>
    </row>
    <row r="2" spans="1:5" ht="42">
      <c r="A2" s="20" t="s">
        <v>57</v>
      </c>
      <c r="B2" s="21" t="s">
        <v>52</v>
      </c>
      <c r="C2" s="20" t="s">
        <v>53</v>
      </c>
      <c r="D2" s="20" t="s">
        <v>54</v>
      </c>
    </row>
    <row r="3" spans="1:5">
      <c r="A3" s="22" t="s">
        <v>715</v>
      </c>
      <c r="B3" s="22" t="s">
        <v>64</v>
      </c>
      <c r="C3" s="23">
        <f>C4+C5+C6</f>
        <v>1570</v>
      </c>
      <c r="D3" s="323">
        <f>321+69</f>
        <v>390</v>
      </c>
    </row>
    <row r="4" spans="1:5">
      <c r="A4" s="24" t="s">
        <v>56</v>
      </c>
      <c r="B4" s="7"/>
      <c r="C4" s="315">
        <v>140</v>
      </c>
      <c r="D4" s="324"/>
    </row>
    <row r="5" spans="1:5">
      <c r="A5" s="24" t="s">
        <v>55</v>
      </c>
      <c r="B5" s="7"/>
      <c r="C5" s="316">
        <v>1380</v>
      </c>
      <c r="D5" s="324"/>
    </row>
    <row r="6" spans="1:5">
      <c r="A6" s="511" t="s">
        <v>67</v>
      </c>
      <c r="B6" s="512"/>
      <c r="C6" s="513">
        <v>50</v>
      </c>
      <c r="D6" s="514"/>
    </row>
    <row r="7" spans="1:5">
      <c r="A7" s="22" t="s">
        <v>3</v>
      </c>
      <c r="B7" s="22" t="s">
        <v>64</v>
      </c>
      <c r="C7" s="207">
        <f>C8+C9</f>
        <v>920</v>
      </c>
      <c r="D7" s="323">
        <v>196</v>
      </c>
    </row>
    <row r="8" spans="1:5">
      <c r="A8" s="24" t="s">
        <v>58</v>
      </c>
      <c r="B8" s="7"/>
      <c r="C8" s="25">
        <v>0</v>
      </c>
      <c r="D8" s="324"/>
    </row>
    <row r="9" spans="1:5">
      <c r="A9" s="27" t="s">
        <v>59</v>
      </c>
      <c r="B9" s="15"/>
      <c r="C9" s="15">
        <v>920</v>
      </c>
      <c r="D9" s="325"/>
    </row>
    <row r="10" spans="1:5">
      <c r="A10" s="22" t="s">
        <v>4</v>
      </c>
      <c r="B10" s="22" t="s">
        <v>64</v>
      </c>
      <c r="C10" s="28">
        <f>C11+C12</f>
        <v>460</v>
      </c>
      <c r="D10" s="326">
        <v>301.2</v>
      </c>
    </row>
    <row r="11" spans="1:5">
      <c r="A11" s="24" t="s">
        <v>60</v>
      </c>
      <c r="B11" s="7"/>
      <c r="C11" s="25">
        <v>0</v>
      </c>
      <c r="D11" s="324"/>
    </row>
    <row r="12" spans="1:5">
      <c r="A12" s="24" t="s">
        <v>61</v>
      </c>
      <c r="B12" s="512"/>
      <c r="C12" s="25">
        <v>460</v>
      </c>
      <c r="D12" s="324"/>
    </row>
    <row r="13" spans="1:5">
      <c r="A13" s="29" t="s">
        <v>763</v>
      </c>
      <c r="B13" s="22"/>
      <c r="C13" s="23">
        <f>C14</f>
        <v>914.6</v>
      </c>
      <c r="D13" s="323"/>
    </row>
    <row r="14" spans="1:5">
      <c r="A14" s="24" t="s">
        <v>764</v>
      </c>
      <c r="B14" s="619"/>
      <c r="C14" s="25">
        <v>914.6</v>
      </c>
      <c r="D14" s="324"/>
    </row>
    <row r="15" spans="1:5">
      <c r="A15" s="29" t="s">
        <v>5</v>
      </c>
      <c r="B15" s="22" t="s">
        <v>64</v>
      </c>
      <c r="C15" s="23">
        <f>C16+C17</f>
        <v>305.39999999999998</v>
      </c>
      <c r="D15" s="323">
        <v>36.5</v>
      </c>
    </row>
    <row r="16" spans="1:5">
      <c r="A16" s="24" t="s">
        <v>62</v>
      </c>
      <c r="B16" s="7"/>
      <c r="C16" s="48">
        <v>305.39999999999998</v>
      </c>
      <c r="D16" s="324"/>
    </row>
    <row r="17" spans="1:5">
      <c r="A17" s="27" t="s">
        <v>63</v>
      </c>
      <c r="B17" s="15"/>
      <c r="C17" s="30">
        <v>0</v>
      </c>
      <c r="D17" s="325"/>
    </row>
    <row r="18" spans="1:5">
      <c r="A18" s="31" t="s">
        <v>6</v>
      </c>
      <c r="B18" s="219" t="s">
        <v>64</v>
      </c>
      <c r="C18" s="32">
        <f>C19</f>
        <v>165</v>
      </c>
      <c r="D18" s="327">
        <v>85</v>
      </c>
      <c r="E18" s="10" t="s">
        <v>65</v>
      </c>
    </row>
    <row r="19" spans="1:5">
      <c r="A19" s="33" t="s">
        <v>68</v>
      </c>
      <c r="B19" s="34"/>
      <c r="C19" s="34">
        <v>165</v>
      </c>
      <c r="D19" s="328"/>
    </row>
    <row r="20" spans="1:5">
      <c r="A20" s="22" t="s">
        <v>7</v>
      </c>
      <c r="B20" s="22" t="s">
        <v>64</v>
      </c>
      <c r="C20" s="28">
        <f>C21+C22+C23</f>
        <v>0</v>
      </c>
      <c r="D20" s="326">
        <f>75*0</f>
        <v>0</v>
      </c>
    </row>
    <row r="21" spans="1:5" ht="15.5">
      <c r="A21" s="24" t="s">
        <v>66</v>
      </c>
      <c r="B21" s="7"/>
      <c r="C21" s="25">
        <v>0</v>
      </c>
      <c r="D21" s="35"/>
    </row>
    <row r="22" spans="1:5">
      <c r="A22" s="24" t="s">
        <v>68</v>
      </c>
      <c r="B22" s="7"/>
      <c r="C22" s="25">
        <v>0</v>
      </c>
      <c r="D22" s="36"/>
    </row>
    <row r="23" spans="1:5" ht="15.5">
      <c r="A23" s="507" t="s">
        <v>67</v>
      </c>
      <c r="B23" s="508"/>
      <c r="C23" s="509">
        <f>55*0</f>
        <v>0</v>
      </c>
      <c r="D23" s="510"/>
    </row>
    <row r="24" spans="1:5" ht="15.5">
      <c r="A24" s="37" t="s">
        <v>29</v>
      </c>
      <c r="B24" s="38"/>
      <c r="C24" s="39">
        <f>C3+C7+C10+C15+C20+C13</f>
        <v>4170</v>
      </c>
      <c r="D24" s="39">
        <f>D3+D7+D10+D15+D20</f>
        <v>923.7</v>
      </c>
    </row>
    <row r="25" spans="1:5">
      <c r="A25" s="40"/>
      <c r="B25" s="40"/>
      <c r="C25" s="41"/>
      <c r="D25" s="42"/>
    </row>
    <row r="26" spans="1:5">
      <c r="A26" s="43" t="s">
        <v>716</v>
      </c>
      <c r="B26" s="43" t="s">
        <v>70</v>
      </c>
      <c r="C26" s="44">
        <v>40</v>
      </c>
      <c r="D26" s="329">
        <v>250</v>
      </c>
    </row>
    <row r="27" spans="1:5">
      <c r="A27" s="43" t="s">
        <v>28</v>
      </c>
      <c r="B27" s="43" t="s">
        <v>70</v>
      </c>
      <c r="C27" s="44">
        <v>66</v>
      </c>
      <c r="D27" s="329">
        <v>86</v>
      </c>
    </row>
    <row r="28" spans="1:5">
      <c r="A28" s="45" t="s">
        <v>8</v>
      </c>
      <c r="B28" s="43" t="s">
        <v>70</v>
      </c>
      <c r="C28" s="46">
        <v>125</v>
      </c>
      <c r="D28" s="46">
        <v>466</v>
      </c>
      <c r="E28" s="10" t="s">
        <v>65</v>
      </c>
    </row>
    <row r="29" spans="1:5">
      <c r="A29" s="47" t="s">
        <v>9</v>
      </c>
      <c r="B29" s="43" t="s">
        <v>70</v>
      </c>
      <c r="C29" s="44">
        <v>135.5</v>
      </c>
      <c r="D29" s="329">
        <v>434.29</v>
      </c>
    </row>
    <row r="30" spans="1:5">
      <c r="A30" s="47" t="s">
        <v>10</v>
      </c>
      <c r="B30" s="43" t="s">
        <v>70</v>
      </c>
      <c r="C30" s="44">
        <f>C31+C32</f>
        <v>105.82</v>
      </c>
      <c r="D30" s="329">
        <f>D31+D32</f>
        <v>371</v>
      </c>
    </row>
    <row r="31" spans="1:5">
      <c r="A31" s="24" t="s">
        <v>11</v>
      </c>
      <c r="B31" s="7"/>
      <c r="C31" s="48">
        <v>50.82</v>
      </c>
      <c r="D31" s="378">
        <v>182.4</v>
      </c>
    </row>
    <row r="32" spans="1:5">
      <c r="A32" s="24" t="s">
        <v>12</v>
      </c>
      <c r="B32" s="7"/>
      <c r="C32" s="25">
        <v>55</v>
      </c>
      <c r="D32" s="378">
        <v>188.6</v>
      </c>
    </row>
    <row r="33" spans="1:4">
      <c r="A33" s="43" t="s">
        <v>829</v>
      </c>
      <c r="B33" s="43" t="s">
        <v>70</v>
      </c>
      <c r="C33" s="44">
        <v>4.532</v>
      </c>
      <c r="D33" s="329">
        <v>84.19</v>
      </c>
    </row>
    <row r="34" spans="1:4" ht="54" customHeight="1">
      <c r="A34" s="220" t="s">
        <v>69</v>
      </c>
      <c r="B34" s="29"/>
      <c r="C34" s="49" t="s">
        <v>13</v>
      </c>
      <c r="D34" s="49">
        <v>166.2</v>
      </c>
    </row>
    <row r="35" spans="1:4" ht="15.5">
      <c r="A35" s="37" t="s">
        <v>30</v>
      </c>
      <c r="B35" s="38"/>
      <c r="C35" s="768">
        <f>SUM(C26:C30,C33)-C28</f>
        <v>351.85199999999998</v>
      </c>
      <c r="D35" s="39">
        <f>SUM(D26:D30,D33)-D28+D34</f>
        <v>1391.68</v>
      </c>
    </row>
    <row r="36" spans="1:4">
      <c r="A36" s="22"/>
      <c r="B36" s="22"/>
      <c r="C36" s="28"/>
      <c r="D36" s="50"/>
    </row>
    <row r="37" spans="1:4">
      <c r="A37" s="51" t="s">
        <v>71</v>
      </c>
      <c r="B37" s="51"/>
      <c r="C37" s="720">
        <v>132.97800000000001</v>
      </c>
      <c r="D37" s="52"/>
    </row>
    <row r="38" spans="1:4">
      <c r="A38" s="47" t="s">
        <v>72</v>
      </c>
      <c r="B38" s="47"/>
      <c r="C38" s="721">
        <f>SUM(C39:C44)</f>
        <v>236.75</v>
      </c>
      <c r="D38" s="52"/>
    </row>
    <row r="39" spans="1:4">
      <c r="A39" s="24" t="s">
        <v>14</v>
      </c>
      <c r="B39" s="7"/>
      <c r="C39" s="25">
        <v>30</v>
      </c>
      <c r="D39" s="25"/>
    </row>
    <row r="40" spans="1:4">
      <c r="A40" s="24" t="s">
        <v>15</v>
      </c>
      <c r="B40" s="7"/>
      <c r="C40" s="48">
        <v>30.75</v>
      </c>
      <c r="D40" s="25"/>
    </row>
    <row r="41" spans="1:4">
      <c r="A41" s="24" t="s">
        <v>16</v>
      </c>
      <c r="B41" s="7"/>
      <c r="C41" s="25">
        <v>100</v>
      </c>
      <c r="D41" s="25"/>
    </row>
    <row r="42" spans="1:4">
      <c r="A42" s="24" t="s">
        <v>782</v>
      </c>
      <c r="B42" s="629"/>
      <c r="C42" s="630">
        <v>30</v>
      </c>
      <c r="D42" s="25"/>
    </row>
    <row r="43" spans="1:4">
      <c r="A43" s="24" t="s">
        <v>17</v>
      </c>
      <c r="B43" s="7"/>
      <c r="C43" s="25">
        <v>40</v>
      </c>
      <c r="D43" s="25"/>
    </row>
    <row r="44" spans="1:4">
      <c r="A44" s="24" t="s">
        <v>783</v>
      </c>
      <c r="B44" s="22"/>
      <c r="C44" s="604">
        <v>6</v>
      </c>
      <c r="D44" s="326"/>
    </row>
    <row r="45" spans="1:4">
      <c r="A45" s="605" t="s">
        <v>760</v>
      </c>
      <c r="B45" s="605"/>
      <c r="C45" s="703">
        <f>SUM(C46:C47)</f>
        <v>104.148</v>
      </c>
      <c r="D45" s="603"/>
    </row>
    <row r="46" spans="1:4">
      <c r="A46" s="24" t="s">
        <v>784</v>
      </c>
      <c r="B46" s="22"/>
      <c r="C46" s="604">
        <v>13.99</v>
      </c>
      <c r="D46" s="326"/>
    </row>
    <row r="47" spans="1:4">
      <c r="A47" s="24" t="s">
        <v>985</v>
      </c>
      <c r="B47" s="22"/>
      <c r="C47" s="604">
        <v>90.158000000000001</v>
      </c>
      <c r="D47" s="326"/>
    </row>
    <row r="48" spans="1:4">
      <c r="A48" s="760" t="s">
        <v>1028</v>
      </c>
      <c r="B48" s="760"/>
      <c r="C48" s="761">
        <f>SUM(C49:C50)</f>
        <v>8</v>
      </c>
      <c r="D48" s="762"/>
    </row>
    <row r="49" spans="1:7">
      <c r="A49" s="763" t="s">
        <v>1029</v>
      </c>
      <c r="B49" s="764"/>
      <c r="C49" s="765">
        <v>4</v>
      </c>
      <c r="D49" s="766"/>
    </row>
    <row r="50" spans="1:7">
      <c r="A50" s="763" t="s">
        <v>1030</v>
      </c>
      <c r="B50" s="764"/>
      <c r="C50" s="765">
        <v>4</v>
      </c>
      <c r="D50" s="766"/>
    </row>
    <row r="51" spans="1:7" ht="15.5">
      <c r="A51" s="37" t="s">
        <v>31</v>
      </c>
      <c r="B51" s="38"/>
      <c r="C51" s="714">
        <f>C37+C38+C45+C48</f>
        <v>481.87599999999998</v>
      </c>
      <c r="D51" s="53"/>
      <c r="G51" s="147"/>
    </row>
    <row r="52" spans="1:7" ht="15.5">
      <c r="A52" s="54"/>
      <c r="B52" s="54"/>
      <c r="C52" s="715"/>
      <c r="D52" s="5"/>
    </row>
    <row r="53" spans="1:7" ht="15.5">
      <c r="A53" s="37" t="s">
        <v>845</v>
      </c>
      <c r="B53" s="38"/>
      <c r="C53" s="716">
        <f>276.13656+221.856</f>
        <v>497.99255999999997</v>
      </c>
      <c r="D53" s="53"/>
    </row>
    <row r="54" spans="1:7" customFormat="1" ht="15.5">
      <c r="A54" s="636"/>
      <c r="B54" s="637"/>
      <c r="C54" s="717"/>
      <c r="D54" s="638"/>
    </row>
    <row r="55" spans="1:7">
      <c r="A55" s="629" t="s">
        <v>809</v>
      </c>
      <c r="B55" s="629"/>
      <c r="C55" s="718">
        <f>C56</f>
        <v>5.44</v>
      </c>
      <c r="D55" s="632">
        <f>D56</f>
        <v>5.34</v>
      </c>
    </row>
    <row r="56" spans="1:7" ht="15.5">
      <c r="A56" s="633" t="s">
        <v>810</v>
      </c>
      <c r="B56" s="634"/>
      <c r="C56" s="719">
        <v>5.44</v>
      </c>
      <c r="D56" s="719">
        <v>5.34</v>
      </c>
    </row>
    <row r="57" spans="1:7" ht="15.5">
      <c r="A57" s="55"/>
      <c r="B57" s="54"/>
      <c r="C57" s="715"/>
      <c r="D57" s="5"/>
    </row>
    <row r="58" spans="1:7" ht="15.5">
      <c r="A58" s="37" t="s">
        <v>327</v>
      </c>
      <c r="B58" s="38"/>
      <c r="C58" s="767">
        <f>C24+C35+C51+C53+C56</f>
        <v>5507.1605599999994</v>
      </c>
      <c r="D58" s="39">
        <f>D24+D35+D51+D53+D56</f>
        <v>2320.7200000000003</v>
      </c>
    </row>
    <row r="60" spans="1:7">
      <c r="A60" s="55" t="s">
        <v>73</v>
      </c>
      <c r="C60" s="147"/>
    </row>
  </sheetData>
  <customSheetViews>
    <customSheetView guid="{786DE933-524F-40D1-8033-C008687087FC}">
      <pageMargins left="0.7" right="0.7" top="0.75" bottom="0.75" header="0.3" footer="0.3"/>
    </customSheetView>
    <customSheetView guid="{627AEB6E-B9F1-415E-9A60-881757A50C67}">
      <selection activeCell="C3" sqref="C3"/>
      <pageMargins left="0.7" right="0.7" top="0.75" bottom="0.75" header="0.3" footer="0.3"/>
    </customSheetView>
    <customSheetView guid="{874BA5F8-BD95-4DDF-8F31-98DB154CA965}">
      <selection activeCell="F4" sqref="F4"/>
      <pageMargins left="0.7" right="0.7" top="0.75" bottom="0.75" header="0.3" footer="0.3"/>
    </customSheetView>
    <customSheetView guid="{AAA495E0-27FD-4941-85B8-9038B6AD4FA3}">
      <selection activeCell="F4" sqref="F4"/>
      <pageMargins left="0.7" right="0.7" top="0.75" bottom="0.75" header="0.3" footer="0.3"/>
    </customSheetView>
    <customSheetView guid="{77EFF5B1-32BE-4080-9902-B97F43099026}">
      <pageMargins left="0.7" right="0.7" top="0.75" bottom="0.75" header="0.3" footer="0.3"/>
    </customSheetView>
  </customSheetView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597C-CAA3-4402-8A54-6D18DC5AFBD7}">
  <dimension ref="A1"/>
  <sheetViews>
    <sheetView workbookViewId="0"/>
  </sheetViews>
  <sheetFormatPr defaultRowHeight="14.5"/>
  <sheetData/>
  <pageMargins left="0.7" right="0.7" top="0.75" bottom="0.75" header="0.3" footer="0.3"/>
  <customProperties>
    <customPr name="CafeStyleVersion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H60"/>
  <sheetViews>
    <sheetView topLeftCell="A21" workbookViewId="0">
      <selection activeCell="G10" sqref="G10"/>
    </sheetView>
  </sheetViews>
  <sheetFormatPr defaultColWidth="9.1796875" defaultRowHeight="14.5"/>
  <cols>
    <col min="1" max="1" width="51.81640625" style="10" customWidth="1"/>
    <col min="2" max="2" width="25.1796875" style="10" customWidth="1"/>
    <col min="3" max="3" width="22.81640625" style="10" customWidth="1"/>
    <col min="4" max="4" width="15.81640625" style="10" customWidth="1"/>
    <col min="5" max="5" width="9.1796875" style="10"/>
    <col min="6" max="6" width="9.81640625" style="10" bestFit="1" customWidth="1"/>
    <col min="7" max="7" width="9.81640625" style="10" customWidth="1"/>
    <col min="8" max="16384" width="9.1796875" style="10"/>
  </cols>
  <sheetData>
    <row r="1" spans="1:5" ht="45" customHeight="1">
      <c r="A1" s="17" t="s">
        <v>326</v>
      </c>
      <c r="B1" s="18"/>
      <c r="C1" s="19"/>
      <c r="D1" s="56"/>
      <c r="E1" s="5"/>
    </row>
    <row r="2" spans="1:5" ht="42">
      <c r="A2" s="20" t="s">
        <v>57</v>
      </c>
      <c r="B2" s="21" t="s">
        <v>52</v>
      </c>
      <c r="C2" s="20" t="s">
        <v>53</v>
      </c>
      <c r="D2" s="20" t="s">
        <v>54</v>
      </c>
    </row>
    <row r="3" spans="1:5">
      <c r="A3" s="22" t="s">
        <v>715</v>
      </c>
      <c r="B3" s="22" t="s">
        <v>64</v>
      </c>
      <c r="C3" s="23">
        <f>C4+C5+C6</f>
        <v>1534</v>
      </c>
      <c r="D3" s="323">
        <v>390</v>
      </c>
    </row>
    <row r="4" spans="1:5">
      <c r="A4" s="24" t="s">
        <v>56</v>
      </c>
      <c r="B4" s="7"/>
      <c r="C4" s="315">
        <v>140</v>
      </c>
      <c r="D4" s="324"/>
    </row>
    <row r="5" spans="1:5">
      <c r="A5" s="24" t="s">
        <v>55</v>
      </c>
      <c r="B5" s="7"/>
      <c r="C5" s="316">
        <v>1345</v>
      </c>
      <c r="D5" s="324"/>
    </row>
    <row r="6" spans="1:5">
      <c r="A6" s="511" t="s">
        <v>67</v>
      </c>
      <c r="B6" s="512"/>
      <c r="C6" s="513">
        <v>49</v>
      </c>
      <c r="D6" s="514"/>
    </row>
    <row r="7" spans="1:5">
      <c r="A7" s="22" t="s">
        <v>3</v>
      </c>
      <c r="B7" s="22" t="s">
        <v>64</v>
      </c>
      <c r="C7" s="207">
        <f>C8+C9</f>
        <v>905</v>
      </c>
      <c r="D7" s="323">
        <v>196</v>
      </c>
    </row>
    <row r="8" spans="1:5">
      <c r="A8" s="24" t="s">
        <v>58</v>
      </c>
      <c r="B8" s="7"/>
      <c r="C8" s="25">
        <v>0</v>
      </c>
      <c r="D8" s="324"/>
    </row>
    <row r="9" spans="1:5">
      <c r="A9" s="27" t="s">
        <v>59</v>
      </c>
      <c r="B9" s="15"/>
      <c r="C9" s="15">
        <v>905</v>
      </c>
      <c r="D9" s="325"/>
    </row>
    <row r="10" spans="1:5">
      <c r="A10" s="22" t="s">
        <v>4</v>
      </c>
      <c r="B10" s="22" t="s">
        <v>64</v>
      </c>
      <c r="C10" s="28">
        <f>C11+C12</f>
        <v>460</v>
      </c>
      <c r="D10" s="326">
        <v>301.2</v>
      </c>
    </row>
    <row r="11" spans="1:5">
      <c r="A11" s="24" t="s">
        <v>60</v>
      </c>
      <c r="B11" s="7"/>
      <c r="C11" s="25">
        <v>0</v>
      </c>
      <c r="D11" s="324"/>
    </row>
    <row r="12" spans="1:5">
      <c r="A12" s="24" t="s">
        <v>61</v>
      </c>
      <c r="B12" s="512"/>
      <c r="C12" s="25">
        <v>460</v>
      </c>
      <c r="D12" s="324"/>
    </row>
    <row r="13" spans="1:5">
      <c r="A13" s="29" t="s">
        <v>763</v>
      </c>
      <c r="B13" s="22"/>
      <c r="C13" s="23">
        <f>C14</f>
        <v>910</v>
      </c>
      <c r="D13" s="323"/>
    </row>
    <row r="14" spans="1:5">
      <c r="A14" s="24" t="s">
        <v>764</v>
      </c>
      <c r="B14" s="512"/>
      <c r="C14" s="25">
        <v>910</v>
      </c>
      <c r="D14" s="324"/>
    </row>
    <row r="15" spans="1:5">
      <c r="A15" s="29" t="s">
        <v>5</v>
      </c>
      <c r="B15" s="22" t="s">
        <v>64</v>
      </c>
      <c r="C15" s="23">
        <f>C16+C17</f>
        <v>306</v>
      </c>
      <c r="D15" s="323">
        <v>36.5</v>
      </c>
    </row>
    <row r="16" spans="1:5">
      <c r="A16" s="24" t="s">
        <v>62</v>
      </c>
      <c r="B16" s="7"/>
      <c r="C16" s="25">
        <v>306</v>
      </c>
      <c r="D16" s="324"/>
    </row>
    <row r="17" spans="1:8">
      <c r="A17" s="27" t="s">
        <v>63</v>
      </c>
      <c r="B17" s="15"/>
      <c r="C17" s="30">
        <v>0</v>
      </c>
      <c r="D17" s="325"/>
    </row>
    <row r="18" spans="1:8">
      <c r="A18" s="31" t="s">
        <v>6</v>
      </c>
      <c r="B18" s="219" t="s">
        <v>64</v>
      </c>
      <c r="C18" s="32">
        <f>C19</f>
        <v>165</v>
      </c>
      <c r="D18" s="327">
        <v>85</v>
      </c>
      <c r="E18" s="10" t="s">
        <v>65</v>
      </c>
    </row>
    <row r="19" spans="1:8">
      <c r="A19" s="33" t="s">
        <v>68</v>
      </c>
      <c r="B19" s="34"/>
      <c r="C19" s="34">
        <v>165</v>
      </c>
      <c r="D19" s="328"/>
    </row>
    <row r="20" spans="1:8">
      <c r="A20" s="22" t="s">
        <v>7</v>
      </c>
      <c r="B20" s="22" t="s">
        <v>64</v>
      </c>
      <c r="C20" s="28">
        <f>C21+C22+C23</f>
        <v>0</v>
      </c>
      <c r="D20" s="326">
        <f>75*0</f>
        <v>0</v>
      </c>
    </row>
    <row r="21" spans="1:8" ht="15.5">
      <c r="A21" s="24" t="s">
        <v>66</v>
      </c>
      <c r="B21" s="7"/>
      <c r="C21" s="25">
        <v>0</v>
      </c>
      <c r="D21" s="35"/>
    </row>
    <row r="22" spans="1:8">
      <c r="A22" s="24" t="s">
        <v>68</v>
      </c>
      <c r="B22" s="7"/>
      <c r="C22" s="25">
        <v>0</v>
      </c>
      <c r="D22" s="36"/>
    </row>
    <row r="23" spans="1:8" ht="15.5">
      <c r="A23" s="507" t="s">
        <v>67</v>
      </c>
      <c r="B23" s="508"/>
      <c r="C23" s="509">
        <f>55*0</f>
        <v>0</v>
      </c>
      <c r="D23" s="510"/>
    </row>
    <row r="24" spans="1:8" ht="15.5">
      <c r="A24" s="37" t="s">
        <v>29</v>
      </c>
      <c r="B24" s="38"/>
      <c r="C24" s="768">
        <f>C3+C7+C10+C15+C20+C13</f>
        <v>4115</v>
      </c>
      <c r="D24" s="39">
        <f>D3+D7+D10+D15+D20</f>
        <v>923.7</v>
      </c>
    </row>
    <row r="25" spans="1:8">
      <c r="A25" s="40"/>
      <c r="B25" s="40"/>
      <c r="C25" s="41"/>
      <c r="D25" s="42"/>
    </row>
    <row r="26" spans="1:8">
      <c r="A26" s="43" t="s">
        <v>716</v>
      </c>
      <c r="B26" s="43" t="s">
        <v>70</v>
      </c>
      <c r="C26" s="769">
        <v>40</v>
      </c>
      <c r="D26" s="329">
        <v>250</v>
      </c>
      <c r="H26" s="147"/>
    </row>
    <row r="27" spans="1:8">
      <c r="A27" s="43" t="s">
        <v>28</v>
      </c>
      <c r="B27" s="43" t="s">
        <v>70</v>
      </c>
      <c r="C27" s="769">
        <v>65.540000000000006</v>
      </c>
      <c r="D27" s="329">
        <v>86</v>
      </c>
      <c r="H27" s="147"/>
    </row>
    <row r="28" spans="1:8">
      <c r="A28" s="45" t="s">
        <v>8</v>
      </c>
      <c r="B28" s="43" t="s">
        <v>70</v>
      </c>
      <c r="C28" s="770">
        <v>125</v>
      </c>
      <c r="D28" s="46">
        <v>466</v>
      </c>
      <c r="E28" s="10" t="s">
        <v>65</v>
      </c>
      <c r="H28" s="147"/>
    </row>
    <row r="29" spans="1:8">
      <c r="A29" s="47" t="s">
        <v>9</v>
      </c>
      <c r="B29" s="43" t="s">
        <v>70</v>
      </c>
      <c r="C29" s="769">
        <v>135</v>
      </c>
      <c r="D29" s="329">
        <v>474.29</v>
      </c>
      <c r="H29" s="147"/>
    </row>
    <row r="30" spans="1:8">
      <c r="A30" s="47" t="s">
        <v>10</v>
      </c>
      <c r="B30" s="43" t="s">
        <v>70</v>
      </c>
      <c r="C30" s="769">
        <f>C31+C32</f>
        <v>105.82</v>
      </c>
      <c r="D30" s="329">
        <f>D31+D32</f>
        <v>362.4</v>
      </c>
      <c r="H30" s="147"/>
    </row>
    <row r="31" spans="1:8">
      <c r="A31" s="24" t="s">
        <v>11</v>
      </c>
      <c r="B31" s="7"/>
      <c r="C31" s="771">
        <v>50.82</v>
      </c>
      <c r="D31" s="378">
        <v>182.4</v>
      </c>
      <c r="H31" s="147"/>
    </row>
    <row r="32" spans="1:8">
      <c r="A32" s="24" t="s">
        <v>12</v>
      </c>
      <c r="B32" s="7"/>
      <c r="C32" s="771">
        <v>55</v>
      </c>
      <c r="D32" s="378">
        <v>180</v>
      </c>
      <c r="H32" s="147"/>
    </row>
    <row r="33" spans="1:8">
      <c r="A33" s="43" t="s">
        <v>829</v>
      </c>
      <c r="B33" s="43" t="s">
        <v>70</v>
      </c>
      <c r="C33" s="769">
        <v>4.8319999999999999</v>
      </c>
      <c r="D33" s="329">
        <v>84.19</v>
      </c>
      <c r="H33" s="147"/>
    </row>
    <row r="34" spans="1:8" ht="35.25" customHeight="1">
      <c r="A34" s="220" t="s">
        <v>69</v>
      </c>
      <c r="B34" s="29"/>
      <c r="C34" s="772" t="s">
        <v>13</v>
      </c>
      <c r="D34" s="49">
        <v>165.98750000000001</v>
      </c>
    </row>
    <row r="35" spans="1:8" ht="15.5">
      <c r="A35" s="37" t="s">
        <v>30</v>
      </c>
      <c r="B35" s="38"/>
      <c r="C35" s="716">
        <f>SUM(C26:C30,C33)-C28</f>
        <v>351.19200000000001</v>
      </c>
      <c r="D35" s="39">
        <f>SUM(D26:D30,D33)-D28+D34</f>
        <v>1422.8675000000001</v>
      </c>
    </row>
    <row r="36" spans="1:8">
      <c r="A36" s="22"/>
      <c r="B36" s="22"/>
      <c r="C36" s="28"/>
      <c r="D36" s="50"/>
    </row>
    <row r="37" spans="1:8">
      <c r="A37" s="51" t="s">
        <v>71</v>
      </c>
      <c r="B37" s="51"/>
      <c r="C37" s="44">
        <v>138.37200000000001</v>
      </c>
      <c r="D37" s="52"/>
    </row>
    <row r="38" spans="1:8">
      <c r="A38" s="47" t="s">
        <v>72</v>
      </c>
      <c r="B38" s="47"/>
      <c r="C38" s="44">
        <f>SUM(C39:C44)</f>
        <v>236.75</v>
      </c>
      <c r="D38" s="52"/>
    </row>
    <row r="39" spans="1:8">
      <c r="A39" s="24" t="s">
        <v>14</v>
      </c>
      <c r="B39" s="7"/>
      <c r="C39" s="25">
        <v>30</v>
      </c>
      <c r="D39" s="25"/>
    </row>
    <row r="40" spans="1:8">
      <c r="A40" s="24" t="s">
        <v>15</v>
      </c>
      <c r="B40" s="7"/>
      <c r="C40" s="48">
        <v>30.75</v>
      </c>
      <c r="D40" s="25"/>
    </row>
    <row r="41" spans="1:8">
      <c r="A41" s="24" t="s">
        <v>16</v>
      </c>
      <c r="B41" s="7"/>
      <c r="C41" s="25">
        <v>100</v>
      </c>
      <c r="D41" s="25"/>
    </row>
    <row r="42" spans="1:8">
      <c r="A42" s="24" t="s">
        <v>782</v>
      </c>
      <c r="B42" s="629"/>
      <c r="C42" s="630">
        <v>30</v>
      </c>
      <c r="D42" s="25"/>
    </row>
    <row r="43" spans="1:8">
      <c r="A43" s="24" t="s">
        <v>17</v>
      </c>
      <c r="B43" s="7"/>
      <c r="C43" s="25">
        <v>40</v>
      </c>
      <c r="D43" s="25"/>
    </row>
    <row r="44" spans="1:8">
      <c r="A44" s="24" t="s">
        <v>945</v>
      </c>
      <c r="B44" s="22"/>
      <c r="C44" s="604">
        <v>6</v>
      </c>
      <c r="D44" s="326"/>
    </row>
    <row r="45" spans="1:8">
      <c r="A45" s="605" t="s">
        <v>760</v>
      </c>
      <c r="B45" s="605"/>
      <c r="C45" s="602">
        <f>SUM(C46:C47)</f>
        <v>81.945999999999998</v>
      </c>
      <c r="D45" s="603"/>
    </row>
    <row r="46" spans="1:8">
      <c r="A46" s="24" t="s">
        <v>784</v>
      </c>
      <c r="B46" s="22"/>
      <c r="C46" s="604">
        <v>12.295999999999999</v>
      </c>
      <c r="D46" s="326"/>
    </row>
    <row r="47" spans="1:8">
      <c r="A47" s="24" t="s">
        <v>985</v>
      </c>
      <c r="B47" s="22"/>
      <c r="C47" s="604">
        <v>69.650000000000006</v>
      </c>
      <c r="D47" s="326"/>
    </row>
    <row r="48" spans="1:8">
      <c r="A48" s="760" t="s">
        <v>1028</v>
      </c>
      <c r="B48" s="760"/>
      <c r="C48" s="761">
        <f>SUM(C49:C50)</f>
        <v>8</v>
      </c>
      <c r="D48" s="762"/>
    </row>
    <row r="49" spans="1:7">
      <c r="A49" s="763" t="s">
        <v>1029</v>
      </c>
      <c r="B49" s="764"/>
      <c r="C49" s="765">
        <v>4</v>
      </c>
      <c r="D49" s="766"/>
    </row>
    <row r="50" spans="1:7">
      <c r="A50" s="763" t="s">
        <v>1030</v>
      </c>
      <c r="B50" s="764"/>
      <c r="C50" s="765">
        <v>4</v>
      </c>
      <c r="D50" s="766"/>
    </row>
    <row r="51" spans="1:7" ht="15.5">
      <c r="A51" s="37" t="s">
        <v>31</v>
      </c>
      <c r="B51" s="38"/>
      <c r="C51" s="39">
        <f>SUM(C37,C38,C45,C48)</f>
        <v>465.06799999999998</v>
      </c>
      <c r="D51" s="53"/>
      <c r="F51" s="147"/>
      <c r="G51" s="587"/>
    </row>
    <row r="52" spans="1:7" ht="15.5">
      <c r="A52" s="54"/>
      <c r="B52" s="54"/>
      <c r="C52" s="5"/>
      <c r="D52" s="5"/>
    </row>
    <row r="53" spans="1:7" ht="15.5">
      <c r="A53" s="37" t="s">
        <v>845</v>
      </c>
      <c r="B53" s="38"/>
      <c r="C53" s="768">
        <f>266.15+221.856</f>
        <v>488.00599999999997</v>
      </c>
      <c r="D53" s="53"/>
      <c r="G53" s="586"/>
    </row>
    <row r="54" spans="1:7" ht="15.5">
      <c r="A54" s="639"/>
      <c r="B54" s="640"/>
      <c r="C54" s="641"/>
      <c r="D54" s="642"/>
      <c r="G54" s="586"/>
    </row>
    <row r="55" spans="1:7">
      <c r="A55" s="629" t="s">
        <v>809</v>
      </c>
      <c r="B55" s="629"/>
      <c r="C55" s="631">
        <v>5.2</v>
      </c>
      <c r="D55" s="632">
        <v>5.2</v>
      </c>
    </row>
    <row r="56" spans="1:7" ht="15.5">
      <c r="A56" s="633" t="s">
        <v>810</v>
      </c>
      <c r="B56" s="634"/>
      <c r="C56" s="635">
        <v>5.2</v>
      </c>
      <c r="D56" s="635">
        <v>5</v>
      </c>
    </row>
    <row r="57" spans="1:7" ht="15.5">
      <c r="A57" s="639"/>
      <c r="B57" s="640"/>
      <c r="C57" s="641"/>
      <c r="D57" s="642"/>
      <c r="G57" s="586"/>
    </row>
    <row r="58" spans="1:7" ht="15.5">
      <c r="A58" s="37" t="s">
        <v>327</v>
      </c>
      <c r="B58" s="38"/>
      <c r="C58" s="39">
        <f>C24+C35+C51+C53+C56</f>
        <v>5424.4660000000003</v>
      </c>
      <c r="D58" s="39">
        <f>D24+D35+D51+D53+D56</f>
        <v>2351.5675000000001</v>
      </c>
    </row>
    <row r="60" spans="1:7">
      <c r="A60" s="55" t="s">
        <v>73</v>
      </c>
      <c r="C60" s="147">
        <f>C58-C48</f>
        <v>5416.4660000000003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09963-AAB2-4E24-8BA8-F10A27DFBAFC}">
  <sheetPr codeName="Arkusz6">
    <pageSetUpPr fitToPage="1"/>
  </sheetPr>
  <dimension ref="A1:QT51"/>
  <sheetViews>
    <sheetView tabSelected="1" zoomScaleNormal="100" workbookViewId="0">
      <pane xSplit="2" ySplit="2" topLeftCell="C3" activePane="bottomRight" state="frozen"/>
      <selection activeCell="P35" sqref="P35"/>
      <selection pane="topRight" activeCell="P35" sqref="P35"/>
      <selection pane="bottomLeft" activeCell="P35" sqref="P35"/>
      <selection pane="bottomRight" activeCell="H9" sqref="H9"/>
    </sheetView>
  </sheetViews>
  <sheetFormatPr defaultColWidth="9.1796875" defaultRowHeight="14.5"/>
  <cols>
    <col min="1" max="1" width="40.81640625" style="5" customWidth="1"/>
    <col min="2" max="2" width="3.81640625" style="10" customWidth="1"/>
    <col min="3" max="3" width="21.1796875" style="10" customWidth="1"/>
    <col min="4" max="5" width="14.81640625" style="10" customWidth="1"/>
    <col min="6" max="6" width="21.81640625" style="10" customWidth="1"/>
    <col min="7" max="7" width="3.81640625" style="10" customWidth="1"/>
    <col min="8" max="8" width="21.1796875" style="10" customWidth="1"/>
    <col min="9" max="10" width="14.81640625" style="10" customWidth="1"/>
    <col min="11" max="11" width="21.81640625" style="10" customWidth="1"/>
    <col min="12" max="12" width="3.81640625" style="10" customWidth="1"/>
    <col min="13" max="13" width="21.1796875" style="10" customWidth="1"/>
    <col min="14" max="15" width="14.81640625" style="10" customWidth="1"/>
    <col min="16" max="16" width="21.81640625" style="10" customWidth="1"/>
    <col min="17" max="17" width="3.81640625" style="10" customWidth="1"/>
    <col min="18" max="18" width="21.1796875" style="10" customWidth="1"/>
    <col min="19" max="20" width="14.81640625" style="10" customWidth="1"/>
    <col min="21" max="21" width="21.81640625" style="10" customWidth="1"/>
    <col min="22" max="22" width="3.81640625" style="10" customWidth="1"/>
    <col min="23" max="23" width="21.1796875" style="10" customWidth="1"/>
    <col min="24" max="25" width="14.81640625" style="10" customWidth="1"/>
    <col min="26" max="26" width="21.81640625" style="10" customWidth="1"/>
    <col min="27" max="27" width="3.81640625" style="10" customWidth="1"/>
    <col min="28" max="28" width="21.1796875" style="10" customWidth="1"/>
    <col min="29" max="30" width="14.81640625" style="10" customWidth="1"/>
    <col min="31" max="31" width="21.81640625" style="10" customWidth="1"/>
    <col min="32" max="32" width="3.81640625" style="10" customWidth="1"/>
    <col min="33" max="33" width="21.1796875" style="10" customWidth="1"/>
    <col min="34" max="35" width="14.81640625" style="10" customWidth="1"/>
    <col min="36" max="36" width="21.81640625" style="10" customWidth="1"/>
    <col min="37" max="37" width="3.81640625" style="10" customWidth="1"/>
    <col min="38" max="38" width="21.1796875" style="10" customWidth="1"/>
    <col min="39" max="40" width="14.81640625" style="10" customWidth="1"/>
    <col min="41" max="41" width="21.81640625" style="10" customWidth="1"/>
    <col min="42" max="42" width="3.81640625" style="10" customWidth="1"/>
    <col min="43" max="43" width="21.1796875" style="10" customWidth="1"/>
    <col min="44" max="45" width="14.81640625" style="10" customWidth="1"/>
    <col min="46" max="46" width="21.81640625" style="10" customWidth="1"/>
    <col min="47" max="47" width="3.81640625" style="10" customWidth="1"/>
    <col min="48" max="48" width="21.1796875" style="10" customWidth="1"/>
    <col min="49" max="50" width="14.81640625" style="10" customWidth="1"/>
    <col min="51" max="51" width="21.81640625" style="10" customWidth="1"/>
    <col min="52" max="52" width="3.81640625" style="10" customWidth="1"/>
    <col min="53" max="53" width="21.1796875" style="10" customWidth="1"/>
    <col min="54" max="55" width="14.81640625" style="10" customWidth="1"/>
    <col min="56" max="56" width="21.81640625" style="10" customWidth="1"/>
    <col min="57" max="57" width="3.81640625" style="10" customWidth="1"/>
    <col min="58" max="58" width="21.1796875" style="10" customWidth="1"/>
    <col min="59" max="60" width="14.81640625" style="10" customWidth="1"/>
    <col min="61" max="61" width="21.81640625" style="10" customWidth="1"/>
    <col min="62" max="62" width="3.81640625" style="10" customWidth="1"/>
    <col min="63" max="63" width="21.1796875" style="10" customWidth="1"/>
    <col min="64" max="65" width="14.81640625" style="10" customWidth="1"/>
    <col min="66" max="66" width="21.81640625" style="10" customWidth="1"/>
    <col min="67" max="67" width="3.81640625" style="10" customWidth="1"/>
    <col min="68" max="68" width="21.1796875" style="10" customWidth="1"/>
    <col min="69" max="70" width="14.81640625" style="10" customWidth="1"/>
    <col min="71" max="71" width="21.81640625" style="10" customWidth="1"/>
    <col min="72" max="72" width="3.81640625" style="10" customWidth="1"/>
    <col min="73" max="73" width="21.1796875" style="10" customWidth="1"/>
    <col min="74" max="75" width="14.81640625" style="10" customWidth="1"/>
    <col min="76" max="76" width="21.81640625" style="10" customWidth="1"/>
    <col min="77" max="77" width="3.81640625" style="10" customWidth="1"/>
    <col min="78" max="78" width="21.1796875" style="10" customWidth="1"/>
    <col min="79" max="80" width="14.81640625" style="10" customWidth="1"/>
    <col min="81" max="81" width="21.81640625" style="10" customWidth="1"/>
    <col min="82" max="82" width="3.81640625" style="10" customWidth="1"/>
    <col min="83" max="83" width="21.1796875" style="10" customWidth="1"/>
    <col min="84" max="84" width="13.54296875" style="10" customWidth="1"/>
    <col min="85" max="85" width="13.81640625" style="10" customWidth="1"/>
    <col min="86" max="86" width="21.81640625" style="10" customWidth="1"/>
    <col min="87" max="87" width="3.81640625" style="10" customWidth="1"/>
    <col min="88" max="88" width="21.1796875" style="10" customWidth="1"/>
    <col min="89" max="90" width="14.81640625" style="10" customWidth="1"/>
    <col min="91" max="91" width="21.81640625" style="10" customWidth="1"/>
    <col min="92" max="92" width="3.81640625" style="10" customWidth="1"/>
    <col min="93" max="93" width="21.1796875" style="10" customWidth="1"/>
    <col min="94" max="95" width="14.81640625" style="10" customWidth="1"/>
    <col min="96" max="96" width="21.81640625" style="10" customWidth="1"/>
    <col min="97" max="97" width="3.81640625" style="10" customWidth="1"/>
    <col min="98" max="98" width="21.1796875" style="10" customWidth="1"/>
    <col min="99" max="100" width="14.81640625" style="10" customWidth="1"/>
    <col min="101" max="101" width="21.81640625" style="10" customWidth="1"/>
    <col min="102" max="102" width="3.81640625" style="10" customWidth="1"/>
    <col min="103" max="103" width="21.1796875" style="10" customWidth="1"/>
    <col min="104" max="105" width="14.81640625" style="10" customWidth="1"/>
    <col min="106" max="106" width="21.81640625" style="10" customWidth="1"/>
    <col min="107" max="107" width="3.81640625" style="10" customWidth="1"/>
    <col min="108" max="108" width="21.1796875" style="10" customWidth="1"/>
    <col min="109" max="110" width="14.81640625" style="10" customWidth="1"/>
    <col min="111" max="111" width="21.81640625" style="10" customWidth="1"/>
    <col min="112" max="112" width="3.81640625" style="10" customWidth="1"/>
    <col min="113" max="113" width="21.1796875" style="10" customWidth="1"/>
    <col min="114" max="115" width="14.81640625" style="10" customWidth="1"/>
    <col min="116" max="116" width="21.81640625" style="10" customWidth="1"/>
    <col min="117" max="117" width="3.81640625" style="10" customWidth="1"/>
    <col min="118" max="118" width="21.1796875" style="10" customWidth="1"/>
    <col min="119" max="120" width="14.81640625" style="10" customWidth="1"/>
    <col min="121" max="121" width="21.81640625" style="10" customWidth="1"/>
    <col min="122" max="122" width="3.81640625" style="10" customWidth="1"/>
    <col min="123" max="123" width="21.1796875" style="10" customWidth="1"/>
    <col min="124" max="125" width="14.81640625" style="10" customWidth="1"/>
    <col min="126" max="126" width="21.81640625" style="10" customWidth="1"/>
    <col min="127" max="127" width="3.81640625" style="10" customWidth="1"/>
    <col min="128" max="128" width="21.1796875" style="10" customWidth="1"/>
    <col min="129" max="130" width="14.81640625" style="10" customWidth="1"/>
    <col min="131" max="131" width="21.81640625" style="10" customWidth="1"/>
    <col min="132" max="132" width="3.81640625" style="10" customWidth="1"/>
    <col min="133" max="133" width="21.1796875" style="10" customWidth="1"/>
    <col min="134" max="135" width="14.81640625" style="10" customWidth="1"/>
    <col min="136" max="136" width="21.81640625" style="10" customWidth="1"/>
    <col min="137" max="137" width="3.81640625" style="10" customWidth="1"/>
    <col min="138" max="138" width="21.1796875" style="10" customWidth="1"/>
    <col min="139" max="140" width="14.81640625" style="10" customWidth="1"/>
    <col min="141" max="141" width="21.81640625" style="10" customWidth="1"/>
    <col min="142" max="142" width="3.81640625" style="10" customWidth="1"/>
    <col min="143" max="143" width="21.1796875" style="10" customWidth="1"/>
    <col min="144" max="145" width="14.81640625" style="10" customWidth="1"/>
    <col min="146" max="146" width="21.81640625" style="10" customWidth="1"/>
    <col min="147" max="147" width="3.81640625" style="10" customWidth="1"/>
    <col min="148" max="148" width="21.1796875" style="10" customWidth="1"/>
    <col min="149" max="150" width="14.81640625" style="10" customWidth="1"/>
    <col min="151" max="151" width="21.81640625" style="10" customWidth="1"/>
    <col min="152" max="152" width="3.81640625" style="10" customWidth="1"/>
    <col min="153" max="153" width="21.1796875" style="10" customWidth="1"/>
    <col min="154" max="155" width="14.81640625" style="10" customWidth="1"/>
    <col min="156" max="156" width="21.81640625" style="10" customWidth="1"/>
    <col min="157" max="157" width="3.81640625" style="10" customWidth="1"/>
    <col min="158" max="158" width="21.1796875" style="10" customWidth="1"/>
    <col min="159" max="160" width="14.81640625" style="10" customWidth="1"/>
    <col min="161" max="161" width="21.81640625" style="10" customWidth="1"/>
    <col min="162" max="162" width="3.81640625" style="10" customWidth="1"/>
    <col min="163" max="163" width="21.1796875" style="10" customWidth="1"/>
    <col min="164" max="165" width="14.81640625" style="10" customWidth="1"/>
    <col min="166" max="166" width="21.81640625" style="10" customWidth="1"/>
    <col min="167" max="167" width="3.81640625" style="10" customWidth="1"/>
    <col min="168" max="168" width="21.1796875" style="10" customWidth="1"/>
    <col min="169" max="170" width="14.81640625" style="10" customWidth="1"/>
    <col min="171" max="171" width="21.81640625" style="10" customWidth="1"/>
    <col min="172" max="172" width="3.81640625" style="10" customWidth="1"/>
    <col min="173" max="173" width="21.1796875" style="10" customWidth="1"/>
    <col min="174" max="175" width="14.81640625" style="10" customWidth="1"/>
    <col min="176" max="176" width="21.81640625" style="10" customWidth="1"/>
    <col min="177" max="177" width="3.81640625" style="10" customWidth="1"/>
    <col min="178" max="178" width="21.1796875" style="10" customWidth="1"/>
    <col min="179" max="180" width="14.81640625" style="10" customWidth="1"/>
    <col min="181" max="181" width="21.81640625" style="10" customWidth="1"/>
    <col min="182" max="182" width="3.81640625" style="10" customWidth="1"/>
    <col min="183" max="183" width="21.1796875" style="10" customWidth="1"/>
    <col min="184" max="185" width="14.81640625" style="10" customWidth="1"/>
    <col min="186" max="186" width="21.81640625" style="10" customWidth="1"/>
    <col min="187" max="187" width="3.81640625" style="10" customWidth="1"/>
    <col min="188" max="188" width="21.1796875" style="10" customWidth="1"/>
    <col min="189" max="190" width="14.81640625" style="10" customWidth="1"/>
    <col min="191" max="191" width="21.81640625" style="10" customWidth="1"/>
    <col min="192" max="192" width="3.81640625" style="10" customWidth="1"/>
    <col min="193" max="193" width="21.1796875" style="10" customWidth="1"/>
    <col min="194" max="195" width="14.81640625" style="10" customWidth="1"/>
    <col min="196" max="196" width="21.81640625" style="10" customWidth="1"/>
    <col min="197" max="197" width="3.81640625" style="10" customWidth="1"/>
    <col min="198" max="198" width="21.1796875" style="10" customWidth="1"/>
    <col min="199" max="200" width="14.81640625" style="10" customWidth="1"/>
    <col min="201" max="201" width="21.81640625" style="10" customWidth="1"/>
    <col min="202" max="202" width="3.81640625" style="10" customWidth="1"/>
    <col min="203" max="203" width="21.1796875" style="10" customWidth="1"/>
    <col min="204" max="205" width="14.81640625" style="10" customWidth="1"/>
    <col min="206" max="206" width="21.81640625" style="10" customWidth="1"/>
    <col min="207" max="207" width="3.81640625" style="10" customWidth="1"/>
    <col min="208" max="208" width="21.1796875" style="10" customWidth="1"/>
    <col min="209" max="210" width="14.81640625" style="10" customWidth="1"/>
    <col min="211" max="211" width="21.81640625" style="10" customWidth="1"/>
    <col min="212" max="212" width="3.81640625" style="10" customWidth="1"/>
    <col min="213" max="213" width="21.1796875" style="10" customWidth="1"/>
    <col min="214" max="215" width="14.81640625" style="10" customWidth="1"/>
    <col min="216" max="216" width="21.81640625" style="10" customWidth="1"/>
    <col min="217" max="217" width="3.81640625" style="10" customWidth="1"/>
    <col min="218" max="218" width="21.1796875" style="10" customWidth="1"/>
    <col min="219" max="220" width="14.81640625" style="10" customWidth="1"/>
    <col min="221" max="221" width="21.81640625" style="10" customWidth="1"/>
    <col min="222" max="222" width="3.81640625" style="10" customWidth="1"/>
    <col min="223" max="223" width="21.1796875" style="10" customWidth="1"/>
    <col min="224" max="225" width="14.81640625" style="10" customWidth="1"/>
    <col min="226" max="226" width="21.81640625" style="10" customWidth="1"/>
    <col min="227" max="227" width="5.81640625" style="10" customWidth="1"/>
    <col min="228" max="228" width="21.1796875" style="337" customWidth="1"/>
    <col min="229" max="230" width="14.81640625" style="337" customWidth="1"/>
    <col min="231" max="231" width="21.81640625" style="337" customWidth="1"/>
    <col min="232" max="232" width="3.81640625" style="337" customWidth="1"/>
    <col min="233" max="233" width="21.1796875" style="337" customWidth="1"/>
    <col min="234" max="235" width="14.81640625" style="337" customWidth="1"/>
    <col min="236" max="236" width="21.81640625" style="337" customWidth="1"/>
    <col min="237" max="237" width="8.1796875" style="337" customWidth="1"/>
    <col min="238" max="238" width="21.1796875" style="337" customWidth="1"/>
    <col min="239" max="240" width="14.81640625" style="337" customWidth="1"/>
    <col min="241" max="241" width="21.81640625" style="337" customWidth="1"/>
    <col min="242" max="242" width="3.81640625" style="337" customWidth="1"/>
    <col min="243" max="243" width="21.1796875" style="337" customWidth="1"/>
    <col min="244" max="245" width="14.81640625" style="337" customWidth="1"/>
    <col min="246" max="246" width="21.81640625" style="337" customWidth="1"/>
    <col min="247" max="248" width="3.81640625" style="337" customWidth="1"/>
    <col min="249" max="249" width="21.1796875" style="337" customWidth="1"/>
    <col min="250" max="251" width="14.81640625" style="337" customWidth="1"/>
    <col min="252" max="252" width="21.81640625" style="337" customWidth="1"/>
    <col min="253" max="253" width="3.81640625" style="337" customWidth="1"/>
    <col min="254" max="254" width="21.1796875" style="337" customWidth="1"/>
    <col min="255" max="256" width="14.81640625" style="337" customWidth="1"/>
    <col min="257" max="257" width="21.81640625" style="337" customWidth="1"/>
    <col min="258" max="258" width="3.81640625" style="337" customWidth="1"/>
    <col min="259" max="259" width="21.1796875" style="337" customWidth="1"/>
    <col min="260" max="261" width="14.81640625" style="337" customWidth="1"/>
    <col min="262" max="262" width="21.81640625" style="337" customWidth="1"/>
    <col min="263" max="263" width="5.81640625" style="337" customWidth="1"/>
    <col min="264" max="264" width="21.1796875" style="337" customWidth="1"/>
    <col min="265" max="266" width="14.81640625" style="337" customWidth="1"/>
    <col min="267" max="267" width="21.81640625" style="337" customWidth="1"/>
    <col min="268" max="268" width="3.81640625" style="337" customWidth="1"/>
    <col min="269" max="269" width="21.1796875" style="337" customWidth="1"/>
    <col min="270" max="271" width="14.81640625" style="337" customWidth="1"/>
    <col min="272" max="272" width="21.81640625" style="337" customWidth="1"/>
    <col min="273" max="273" width="5.81640625" style="337" customWidth="1"/>
    <col min="274" max="274" width="21.1796875" style="337" customWidth="1"/>
    <col min="275" max="276" width="14.81640625" style="337" customWidth="1"/>
    <col min="277" max="277" width="21.81640625" style="337" customWidth="1"/>
    <col min="278" max="278" width="3.81640625" style="337" customWidth="1"/>
    <col min="279" max="279" width="21.1796875" style="337" customWidth="1"/>
    <col min="280" max="281" width="14.81640625" style="337" customWidth="1"/>
    <col min="282" max="282" width="21.81640625" style="337" customWidth="1"/>
    <col min="283" max="283" width="5.81640625" style="337" customWidth="1"/>
    <col min="284" max="284" width="21.1796875" style="156" customWidth="1"/>
    <col min="285" max="286" width="14.81640625" style="156" customWidth="1"/>
    <col min="287" max="287" width="21.81640625" style="156" customWidth="1"/>
    <col min="288" max="288" width="3.81640625" style="156" customWidth="1"/>
    <col min="289" max="289" width="21.1796875" style="156" customWidth="1"/>
    <col min="290" max="291" width="14.81640625" style="156" customWidth="1"/>
    <col min="292" max="292" width="21.81640625" style="156" customWidth="1"/>
    <col min="293" max="293" width="5.81640625" style="10" customWidth="1"/>
    <col min="294" max="294" width="21.1796875" style="10" customWidth="1"/>
    <col min="295" max="296" width="14.81640625" style="10" customWidth="1"/>
    <col min="297" max="297" width="21.81640625" style="10" customWidth="1"/>
    <col min="298" max="298" width="9.54296875" style="10" customWidth="1"/>
    <col min="299" max="299" width="21.1796875" style="10" customWidth="1"/>
    <col min="300" max="301" width="14.81640625" style="10" customWidth="1"/>
    <col min="302" max="302" width="21.81640625" style="10" customWidth="1"/>
    <col min="303" max="303" width="3.81640625" style="10" customWidth="1"/>
    <col min="304" max="304" width="21.1796875" style="10" customWidth="1"/>
    <col min="305" max="306" width="14.81640625" style="10" customWidth="1"/>
    <col min="307" max="307" width="21.81640625" style="10" customWidth="1"/>
    <col min="308" max="308" width="15" style="10" customWidth="1"/>
    <col min="309" max="309" width="21.81640625" style="10" customWidth="1"/>
    <col min="310" max="311" width="17.81640625" style="10" customWidth="1"/>
    <col min="312" max="312" width="21.81640625" style="10" customWidth="1"/>
    <col min="313" max="313" width="6.1796875" style="10" customWidth="1"/>
    <col min="314" max="314" width="21.81640625" style="10" customWidth="1"/>
    <col min="315" max="316" width="17.81640625" style="10" customWidth="1"/>
    <col min="317" max="317" width="21.81640625" style="10" customWidth="1"/>
    <col min="318" max="318" width="4.54296875" style="10" customWidth="1"/>
    <col min="319" max="319" width="21.81640625" style="10" customWidth="1"/>
    <col min="320" max="321" width="17.81640625" style="10" customWidth="1"/>
    <col min="322" max="322" width="21.81640625" style="10" customWidth="1"/>
    <col min="323" max="323" width="5.81640625" style="10" customWidth="1"/>
    <col min="324" max="324" width="21.81640625" style="10" customWidth="1"/>
    <col min="325" max="326" width="17.81640625" style="10" customWidth="1"/>
    <col min="327" max="327" width="21.81640625" style="10" customWidth="1"/>
    <col min="328" max="328" width="3.81640625" style="10" customWidth="1"/>
    <col min="329" max="329" width="21.81640625" style="10" customWidth="1"/>
    <col min="330" max="331" width="17.81640625" style="10" customWidth="1"/>
    <col min="332" max="332" width="21.81640625" style="10" customWidth="1"/>
    <col min="333" max="333" width="3.81640625" style="10" customWidth="1"/>
    <col min="334" max="334" width="21.81640625" style="10" customWidth="1"/>
    <col min="335" max="336" width="17.81640625" style="10" customWidth="1"/>
    <col min="337" max="337" width="21.81640625" style="10" customWidth="1"/>
    <col min="338" max="338" width="3.81640625" style="10" customWidth="1"/>
    <col min="339" max="339" width="21.81640625" style="10" customWidth="1"/>
    <col min="340" max="341" width="17.81640625" style="10" customWidth="1"/>
    <col min="342" max="342" width="21.81640625" style="10" customWidth="1"/>
    <col min="343" max="343" width="9.1796875" style="10"/>
    <col min="344" max="344" width="21.81640625" style="10" customWidth="1"/>
    <col min="345" max="346" width="17.81640625" style="10" customWidth="1"/>
    <col min="347" max="347" width="22.81640625" style="10" customWidth="1"/>
    <col min="348" max="348" width="3.81640625" style="10" customWidth="1"/>
    <col min="349" max="349" width="22.81640625" style="10" customWidth="1"/>
    <col min="350" max="351" width="18.81640625" style="10" customWidth="1"/>
    <col min="352" max="352" width="22.81640625" style="10" customWidth="1"/>
    <col min="353" max="353" width="9.1796875" style="10"/>
    <col min="354" max="354" width="22.81640625" style="10" customWidth="1"/>
    <col min="355" max="356" width="18.81640625" style="10" customWidth="1"/>
    <col min="357" max="357" width="24.54296875" style="10" customWidth="1"/>
    <col min="358" max="358" width="3.81640625" style="10" customWidth="1"/>
    <col min="359" max="359" width="22.81640625" style="10" customWidth="1"/>
    <col min="360" max="361" width="18.81640625" style="10" customWidth="1"/>
    <col min="362" max="362" width="24.54296875" style="10" customWidth="1"/>
    <col min="363" max="363" width="9.1796875" style="10"/>
    <col min="364" max="364" width="22.1796875" style="10" customWidth="1"/>
    <col min="365" max="365" width="17.81640625" style="10" customWidth="1"/>
    <col min="366" max="366" width="17" style="10" customWidth="1"/>
    <col min="367" max="367" width="24" style="10" customWidth="1"/>
    <col min="368" max="368" width="9.1796875" style="10"/>
    <col min="369" max="369" width="22.54296875" style="10" customWidth="1"/>
    <col min="370" max="370" width="9.81640625" style="10" customWidth="1"/>
    <col min="371" max="371" width="10.1796875" style="10" customWidth="1"/>
    <col min="372" max="372" width="23.81640625" style="10" customWidth="1"/>
    <col min="373" max="373" width="3.453125" style="10" customWidth="1"/>
    <col min="374" max="374" width="24.1796875" style="10" customWidth="1"/>
    <col min="375" max="375" width="19.81640625" style="10" customWidth="1"/>
    <col min="376" max="376" width="20.1796875" style="10" customWidth="1"/>
    <col min="377" max="377" width="24.1796875" style="10" customWidth="1"/>
    <col min="378" max="378" width="9.1796875" style="10"/>
    <col min="379" max="379" width="23" style="10" customWidth="1"/>
    <col min="380" max="380" width="15.81640625" style="10" customWidth="1"/>
    <col min="381" max="381" width="14.54296875" style="10" customWidth="1"/>
    <col min="382" max="382" width="23.81640625" style="10" customWidth="1"/>
    <col min="383" max="383" width="9.1796875" style="10"/>
    <col min="384" max="384" width="28.1796875" style="10" customWidth="1"/>
    <col min="385" max="386" width="19.81640625" style="10" customWidth="1"/>
    <col min="387" max="387" width="24.81640625" style="10" customWidth="1"/>
    <col min="388" max="388" width="9.1796875" style="10"/>
    <col min="389" max="389" width="23.1796875" style="10" customWidth="1"/>
    <col min="390" max="390" width="19.1796875" style="10" customWidth="1"/>
    <col min="391" max="391" width="19" style="10" customWidth="1"/>
    <col min="392" max="392" width="24.1796875" style="10" customWidth="1"/>
    <col min="393" max="393" width="4" style="10" customWidth="1"/>
    <col min="394" max="394" width="24" style="10" customWidth="1"/>
    <col min="395" max="396" width="19" style="10" customWidth="1"/>
    <col min="397" max="397" width="25.54296875" style="10" customWidth="1"/>
    <col min="398" max="398" width="9.1796875" style="10"/>
    <col min="399" max="399" width="25.1796875" style="10" customWidth="1"/>
    <col min="400" max="400" width="17.453125" style="10" customWidth="1"/>
    <col min="401" max="401" width="19.1796875" style="10" customWidth="1"/>
    <col min="402" max="402" width="22.1796875" style="10" customWidth="1"/>
    <col min="403" max="403" width="9.1796875" style="10"/>
    <col min="404" max="404" width="49.1796875" style="10" customWidth="1"/>
    <col min="405" max="405" width="28.453125" style="10" customWidth="1"/>
    <col min="406" max="406" width="14.81640625" style="10" customWidth="1"/>
    <col min="407" max="407" width="14.1796875" style="10" customWidth="1"/>
    <col min="408" max="408" width="21.453125" style="10" customWidth="1"/>
    <col min="409" max="409" width="9.1796875" style="10"/>
    <col min="410" max="410" width="21.54296875" style="10" customWidth="1"/>
    <col min="411" max="411" width="15.1796875" style="10" customWidth="1"/>
    <col min="412" max="412" width="13.81640625" style="10" customWidth="1"/>
    <col min="413" max="413" width="23.453125" style="10" customWidth="1"/>
    <col min="414" max="414" width="9.1796875" style="10"/>
    <col min="415" max="415" width="21.54296875" style="10" customWidth="1"/>
    <col min="416" max="416" width="13.1796875" style="10" customWidth="1"/>
    <col min="417" max="417" width="14.81640625" style="10" customWidth="1"/>
    <col min="418" max="418" width="21.453125" style="10" customWidth="1"/>
    <col min="419" max="16384" width="9.1796875" style="10"/>
  </cols>
  <sheetData>
    <row r="1" spans="1:462" ht="20">
      <c r="A1" s="17" t="s">
        <v>74</v>
      </c>
      <c r="C1" s="755"/>
      <c r="D1" s="755"/>
      <c r="E1" s="755"/>
      <c r="F1" s="755"/>
      <c r="H1" s="755"/>
      <c r="I1" s="755"/>
      <c r="J1" s="755"/>
      <c r="K1" s="755"/>
      <c r="M1" s="57"/>
      <c r="N1" s="57"/>
      <c r="O1" s="57"/>
      <c r="P1" s="57"/>
      <c r="R1" s="57"/>
      <c r="S1" s="57"/>
      <c r="T1" s="57"/>
      <c r="U1" s="57"/>
      <c r="W1" s="57"/>
      <c r="X1" s="57"/>
      <c r="Y1" s="57"/>
      <c r="Z1" s="57"/>
      <c r="AB1" s="57"/>
      <c r="AC1" s="57"/>
      <c r="AD1" s="57"/>
      <c r="AE1" s="57"/>
      <c r="AG1" s="57"/>
      <c r="AH1" s="57"/>
      <c r="AI1" s="57"/>
      <c r="AJ1" s="57"/>
      <c r="AL1" s="57"/>
      <c r="AM1" s="57"/>
      <c r="AN1" s="57"/>
      <c r="AO1" s="57"/>
      <c r="AQ1" s="57"/>
      <c r="AR1" s="57"/>
      <c r="AS1" s="57"/>
      <c r="AT1" s="57"/>
      <c r="AV1" s="57"/>
      <c r="AW1" s="57"/>
      <c r="AX1" s="57"/>
      <c r="AY1" s="57"/>
      <c r="BA1" s="57"/>
      <c r="BB1" s="57"/>
      <c r="BC1" s="57"/>
      <c r="BD1" s="57"/>
      <c r="BF1" s="57"/>
      <c r="BG1" s="57"/>
      <c r="BH1" s="57"/>
      <c r="BI1" s="57"/>
      <c r="BK1" s="57"/>
      <c r="BL1" s="57"/>
      <c r="BM1" s="57"/>
      <c r="BN1" s="57"/>
      <c r="BP1" s="57"/>
      <c r="BQ1" s="57"/>
      <c r="BR1" s="57"/>
      <c r="BS1" s="57"/>
      <c r="BU1" s="57"/>
      <c r="BV1" s="57"/>
      <c r="BW1" s="57"/>
      <c r="BX1" s="57"/>
      <c r="BZ1" s="57"/>
      <c r="CA1" s="57"/>
      <c r="CB1" s="57"/>
      <c r="CC1" s="57"/>
      <c r="CE1" s="57"/>
      <c r="CF1" s="57"/>
      <c r="CG1" s="57"/>
      <c r="CH1" s="57"/>
      <c r="CJ1" s="57"/>
      <c r="CK1" s="57"/>
      <c r="CL1" s="57"/>
      <c r="CM1" s="57"/>
      <c r="CO1" s="57"/>
      <c r="CP1" s="57"/>
      <c r="CQ1" s="57"/>
      <c r="CR1" s="57"/>
      <c r="CT1" s="57"/>
      <c r="CU1" s="57"/>
      <c r="CV1" s="57"/>
      <c r="CW1" s="57"/>
      <c r="CY1" s="57"/>
      <c r="CZ1" s="57"/>
      <c r="DA1" s="57"/>
      <c r="DB1" s="57"/>
      <c r="DD1" s="57"/>
      <c r="DE1" s="57"/>
      <c r="DF1" s="57"/>
      <c r="DG1" s="57"/>
      <c r="DI1" s="57"/>
      <c r="DJ1" s="57"/>
      <c r="DK1" s="57"/>
      <c r="DL1" s="57"/>
      <c r="DN1" s="57"/>
      <c r="DO1" s="57"/>
      <c r="DP1" s="57"/>
      <c r="DQ1" s="57"/>
      <c r="DS1" s="57"/>
      <c r="DT1" s="57"/>
      <c r="DU1" s="57"/>
      <c r="DV1" s="57"/>
      <c r="DX1" s="57"/>
      <c r="DY1" s="57"/>
      <c r="DZ1" s="57"/>
      <c r="EA1" s="57"/>
      <c r="EC1" s="57"/>
      <c r="ED1" s="57"/>
      <c r="EE1" s="57"/>
      <c r="EF1" s="57"/>
      <c r="EH1" s="57"/>
      <c r="EI1" s="57"/>
      <c r="EJ1" s="57"/>
      <c r="EK1" s="57"/>
      <c r="EM1" s="57"/>
      <c r="EN1" s="57"/>
      <c r="EO1" s="57"/>
      <c r="EP1" s="57"/>
      <c r="ER1" s="57"/>
      <c r="ES1" s="57"/>
      <c r="ET1" s="57"/>
      <c r="EU1" s="57"/>
      <c r="EW1" s="57"/>
      <c r="EX1" s="57"/>
      <c r="EY1" s="57"/>
      <c r="EZ1" s="57"/>
      <c r="FB1" s="57"/>
      <c r="FC1" s="57"/>
      <c r="FD1" s="57"/>
      <c r="FE1" s="57"/>
      <c r="FG1" s="57"/>
      <c r="FH1" s="57"/>
      <c r="FI1" s="57"/>
      <c r="FJ1" s="57"/>
      <c r="FL1" s="57"/>
      <c r="FM1" s="57"/>
      <c r="FN1" s="57"/>
      <c r="FO1" s="57"/>
      <c r="FQ1" s="57"/>
      <c r="FR1" s="57"/>
      <c r="FS1" s="57"/>
      <c r="FT1" s="57"/>
      <c r="FV1" s="57"/>
      <c r="FW1" s="57"/>
      <c r="FX1" s="57"/>
      <c r="FY1" s="57"/>
      <c r="GA1" s="57"/>
      <c r="GB1" s="57"/>
      <c r="GC1" s="57"/>
      <c r="GD1" s="57"/>
      <c r="GF1" s="57"/>
      <c r="GG1" s="57"/>
      <c r="GH1" s="57"/>
      <c r="GI1" s="57"/>
      <c r="GK1" s="57"/>
      <c r="GL1" s="57"/>
      <c r="GM1" s="57"/>
      <c r="GN1" s="57"/>
      <c r="GP1" s="57"/>
      <c r="GQ1" s="57"/>
      <c r="GR1" s="57"/>
      <c r="GS1" s="57"/>
      <c r="GU1" s="57"/>
      <c r="GV1" s="57"/>
      <c r="GW1" s="57"/>
      <c r="GX1" s="57"/>
      <c r="GZ1" s="57"/>
      <c r="HA1" s="57"/>
      <c r="HB1" s="57"/>
      <c r="HC1" s="57"/>
      <c r="HE1" s="57"/>
      <c r="HF1" s="57"/>
      <c r="HG1" s="57"/>
      <c r="HH1" s="57"/>
      <c r="HJ1" s="57"/>
      <c r="HK1" s="57"/>
      <c r="HL1" s="57"/>
      <c r="HM1" s="57"/>
      <c r="HO1" s="57"/>
      <c r="HP1" s="57"/>
      <c r="HQ1" s="57"/>
      <c r="HR1" s="57"/>
      <c r="HT1" s="336"/>
      <c r="HU1" s="336"/>
      <c r="HV1" s="336"/>
      <c r="HW1" s="336"/>
      <c r="HY1" s="336"/>
      <c r="HZ1" s="336"/>
      <c r="IA1" s="336"/>
      <c r="IB1" s="336"/>
      <c r="ID1" s="336"/>
      <c r="IE1" s="336"/>
      <c r="IF1" s="336"/>
      <c r="IG1" s="336"/>
      <c r="II1" s="336"/>
      <c r="IJ1" s="336"/>
      <c r="IK1" s="336"/>
      <c r="IL1" s="336"/>
      <c r="IO1" s="336"/>
      <c r="IP1" s="336"/>
      <c r="IQ1" s="336"/>
      <c r="IR1" s="336"/>
      <c r="IT1" s="336"/>
      <c r="IU1" s="336"/>
      <c r="IV1" s="336"/>
      <c r="IW1" s="336"/>
      <c r="IY1" s="336"/>
      <c r="IZ1" s="336"/>
      <c r="JA1" s="336"/>
      <c r="JB1" s="336"/>
      <c r="JD1" s="336"/>
      <c r="JE1" s="336"/>
      <c r="JF1" s="336"/>
      <c r="JG1" s="336"/>
      <c r="JI1" s="336"/>
      <c r="JJ1" s="336"/>
      <c r="JK1" s="336"/>
      <c r="JL1" s="336"/>
      <c r="JN1" s="336"/>
      <c r="JO1" s="336"/>
      <c r="JP1" s="336"/>
      <c r="JQ1" s="336"/>
      <c r="JS1" s="336"/>
      <c r="JT1" s="336"/>
      <c r="JU1" s="336"/>
      <c r="JV1" s="336"/>
      <c r="JX1" s="152"/>
      <c r="JY1" s="152"/>
      <c r="JZ1" s="152"/>
      <c r="KA1" s="152"/>
      <c r="KC1" s="152"/>
      <c r="KD1" s="152"/>
      <c r="KE1" s="152"/>
      <c r="KF1" s="152"/>
      <c r="KH1" s="57"/>
      <c r="KI1" s="57"/>
      <c r="KJ1" s="57"/>
      <c r="KK1" s="57"/>
      <c r="KM1" s="57"/>
      <c r="KN1" s="57"/>
      <c r="KO1" s="57"/>
      <c r="KP1" s="57"/>
      <c r="KR1" s="57"/>
      <c r="KS1" s="57"/>
      <c r="KT1" s="57"/>
      <c r="KU1" s="57"/>
      <c r="KW1" s="57"/>
      <c r="KX1" s="57"/>
      <c r="KY1" s="57"/>
      <c r="KZ1" s="57"/>
      <c r="LA1" s="57"/>
      <c r="LB1" s="57"/>
      <c r="LC1" s="57"/>
      <c r="LD1" s="57"/>
      <c r="LE1" s="57"/>
      <c r="LG1" s="57"/>
      <c r="LH1" s="57"/>
      <c r="LI1" s="57"/>
      <c r="LJ1" s="57"/>
      <c r="LL1" s="57"/>
      <c r="LM1" s="57"/>
      <c r="LN1" s="57"/>
      <c r="LO1" s="57"/>
      <c r="LQ1" s="57"/>
      <c r="LR1" s="57"/>
      <c r="LS1" s="57"/>
      <c r="LT1" s="57"/>
      <c r="LV1" s="57"/>
      <c r="LW1" s="57"/>
      <c r="LX1" s="57"/>
      <c r="LY1" s="57"/>
      <c r="MA1" s="1"/>
      <c r="MB1" s="1"/>
      <c r="MC1" s="1"/>
      <c r="MD1" s="1"/>
      <c r="MF1" s="57"/>
      <c r="MG1" s="57"/>
      <c r="MH1" s="57"/>
      <c r="MI1" s="57"/>
      <c r="MK1" s="1"/>
      <c r="ML1" s="1"/>
      <c r="MM1" s="1"/>
      <c r="MN1" s="1"/>
      <c r="MP1" s="57"/>
      <c r="MQ1" s="57"/>
      <c r="MR1" s="57"/>
      <c r="MS1" s="57"/>
      <c r="MU1" s="1"/>
      <c r="MV1" s="1"/>
      <c r="MW1" s="1"/>
      <c r="MX1" s="1"/>
      <c r="MZ1" s="1"/>
      <c r="NA1" s="1"/>
      <c r="NB1" s="1"/>
      <c r="NC1" s="1"/>
      <c r="NE1" s="1"/>
      <c r="NF1" s="1"/>
      <c r="NG1" s="1"/>
      <c r="NH1" s="1"/>
      <c r="NI1" s="57"/>
      <c r="NJ1" s="1"/>
      <c r="NK1" s="1"/>
      <c r="NL1" s="1"/>
      <c r="NM1" s="1"/>
      <c r="NN1" s="57"/>
      <c r="NO1" s="1"/>
      <c r="NP1" s="1"/>
      <c r="NQ1" s="1"/>
      <c r="NR1" s="1"/>
      <c r="NT1" s="1"/>
      <c r="NU1" s="1"/>
      <c r="NV1" s="1"/>
      <c r="NW1" s="1"/>
      <c r="NY1" s="1"/>
      <c r="NZ1" s="1"/>
      <c r="OA1" s="1"/>
      <c r="OB1" s="1"/>
      <c r="OD1" s="1"/>
      <c r="OE1" s="1"/>
      <c r="OF1" s="1"/>
      <c r="OG1" s="1"/>
      <c r="OI1" s="1"/>
      <c r="OJ1" s="1"/>
      <c r="OK1" s="1"/>
      <c r="OL1" s="1"/>
      <c r="ON1" s="1" t="s">
        <v>74</v>
      </c>
      <c r="OO1" s="6"/>
      <c r="OP1" s="6"/>
      <c r="OQ1" s="6"/>
      <c r="OR1" s="6"/>
      <c r="OT1" s="6"/>
      <c r="OU1" s="6"/>
      <c r="OV1" s="6"/>
      <c r="OW1" s="6"/>
      <c r="OY1" s="6"/>
      <c r="OZ1" s="6"/>
      <c r="PA1" s="6"/>
      <c r="PB1" s="6"/>
    </row>
    <row r="2" spans="1:462" ht="75">
      <c r="A2" s="58" t="s">
        <v>370</v>
      </c>
      <c r="C2" s="759" t="s">
        <v>1031</v>
      </c>
      <c r="D2" s="759" t="s">
        <v>1032</v>
      </c>
      <c r="E2" s="759" t="s">
        <v>1033</v>
      </c>
      <c r="F2" s="759" t="s">
        <v>1023</v>
      </c>
      <c r="H2" s="759" t="s">
        <v>1026</v>
      </c>
      <c r="I2" s="759" t="s">
        <v>1025</v>
      </c>
      <c r="J2" s="759" t="s">
        <v>1024</v>
      </c>
      <c r="K2" s="759" t="s">
        <v>1023</v>
      </c>
      <c r="M2" s="59" t="s">
        <v>1001</v>
      </c>
      <c r="N2" s="59" t="s">
        <v>1002</v>
      </c>
      <c r="O2" s="59" t="s">
        <v>1003</v>
      </c>
      <c r="P2" s="59" t="s">
        <v>1004</v>
      </c>
      <c r="R2" s="59" t="s">
        <v>974</v>
      </c>
      <c r="S2" s="59" t="s">
        <v>975</v>
      </c>
      <c r="T2" s="59" t="s">
        <v>976</v>
      </c>
      <c r="U2" s="59" t="s">
        <v>977</v>
      </c>
      <c r="W2" s="59" t="s">
        <v>981</v>
      </c>
      <c r="X2" s="59" t="s">
        <v>982</v>
      </c>
      <c r="Y2" s="59" t="s">
        <v>983</v>
      </c>
      <c r="Z2" s="59" t="s">
        <v>977</v>
      </c>
      <c r="AB2" s="59" t="s">
        <v>939</v>
      </c>
      <c r="AC2" s="59" t="s">
        <v>943</v>
      </c>
      <c r="AD2" s="59" t="s">
        <v>944</v>
      </c>
      <c r="AE2" s="59" t="s">
        <v>938</v>
      </c>
      <c r="AG2" s="59" t="s">
        <v>940</v>
      </c>
      <c r="AH2" s="59" t="s">
        <v>941</v>
      </c>
      <c r="AI2" s="59" t="s">
        <v>942</v>
      </c>
      <c r="AJ2" s="59" t="s">
        <v>938</v>
      </c>
      <c r="AL2" s="59" t="s">
        <v>925</v>
      </c>
      <c r="AM2" s="59" t="s">
        <v>926</v>
      </c>
      <c r="AN2" s="59" t="s">
        <v>927</v>
      </c>
      <c r="AO2" s="59" t="s">
        <v>931</v>
      </c>
      <c r="AQ2" s="59" t="s">
        <v>928</v>
      </c>
      <c r="AR2" s="59" t="s">
        <v>929</v>
      </c>
      <c r="AS2" s="59" t="s">
        <v>930</v>
      </c>
      <c r="AT2" s="59" t="s">
        <v>931</v>
      </c>
      <c r="AV2" s="59" t="s">
        <v>904</v>
      </c>
      <c r="AW2" s="59" t="s">
        <v>905</v>
      </c>
      <c r="AX2" s="59" t="s">
        <v>906</v>
      </c>
      <c r="AY2" s="59" t="s">
        <v>907</v>
      </c>
      <c r="BA2" s="59" t="s">
        <v>914</v>
      </c>
      <c r="BB2" s="59" t="s">
        <v>915</v>
      </c>
      <c r="BC2" s="59" t="s">
        <v>916</v>
      </c>
      <c r="BD2" s="59" t="s">
        <v>909</v>
      </c>
      <c r="BF2" s="59" t="s">
        <v>901</v>
      </c>
      <c r="BG2" s="59" t="s">
        <v>902</v>
      </c>
      <c r="BH2" s="59" t="s">
        <v>903</v>
      </c>
      <c r="BI2" s="59" t="s">
        <v>908</v>
      </c>
      <c r="BK2" s="59" t="s">
        <v>895</v>
      </c>
      <c r="BL2" s="59" t="s">
        <v>896</v>
      </c>
      <c r="BM2" s="59" t="s">
        <v>891</v>
      </c>
      <c r="BN2" s="59" t="s">
        <v>844</v>
      </c>
      <c r="BP2" s="59" t="s">
        <v>890</v>
      </c>
      <c r="BQ2" s="59" t="s">
        <v>887</v>
      </c>
      <c r="BR2" s="59" t="s">
        <v>885</v>
      </c>
      <c r="BS2" s="59" t="s">
        <v>844</v>
      </c>
      <c r="BU2" s="59" t="s">
        <v>884</v>
      </c>
      <c r="BV2" s="59" t="s">
        <v>881</v>
      </c>
      <c r="BW2" s="59" t="s">
        <v>880</v>
      </c>
      <c r="BX2" s="59" t="s">
        <v>837</v>
      </c>
      <c r="BZ2" s="59" t="s">
        <v>872</v>
      </c>
      <c r="CA2" s="59" t="s">
        <v>871</v>
      </c>
      <c r="CB2" s="59" t="s">
        <v>870</v>
      </c>
      <c r="CC2" s="59" t="s">
        <v>911</v>
      </c>
      <c r="CE2" s="59" t="s">
        <v>867</v>
      </c>
      <c r="CF2" s="59" t="s">
        <v>868</v>
      </c>
      <c r="CG2" s="59" t="s">
        <v>869</v>
      </c>
      <c r="CH2" s="59" t="s">
        <v>910</v>
      </c>
      <c r="CJ2" s="59" t="s">
        <v>812</v>
      </c>
      <c r="CK2" s="59" t="s">
        <v>813</v>
      </c>
      <c r="CL2" s="59" t="s">
        <v>814</v>
      </c>
      <c r="CM2" s="59" t="s">
        <v>818</v>
      </c>
      <c r="CO2" s="59" t="s">
        <v>819</v>
      </c>
      <c r="CP2" s="59" t="s">
        <v>820</v>
      </c>
      <c r="CQ2" s="59" t="s">
        <v>821</v>
      </c>
      <c r="CR2" s="59" t="s">
        <v>818</v>
      </c>
      <c r="CT2" s="59" t="s">
        <v>801</v>
      </c>
      <c r="CU2" s="59" t="s">
        <v>802</v>
      </c>
      <c r="CV2" s="59" t="s">
        <v>803</v>
      </c>
      <c r="CW2" s="59" t="s">
        <v>800</v>
      </c>
      <c r="CY2" s="59" t="s">
        <v>797</v>
      </c>
      <c r="CZ2" s="59" t="s">
        <v>798</v>
      </c>
      <c r="DA2" s="59" t="s">
        <v>799</v>
      </c>
      <c r="DB2" s="59" t="s">
        <v>800</v>
      </c>
      <c r="DD2" s="59" t="s">
        <v>785</v>
      </c>
      <c r="DE2" s="59" t="s">
        <v>786</v>
      </c>
      <c r="DF2" s="59" t="s">
        <v>787</v>
      </c>
      <c r="DG2" s="59" t="s">
        <v>789</v>
      </c>
      <c r="DI2" s="59" t="s">
        <v>791</v>
      </c>
      <c r="DJ2" s="59" t="s">
        <v>792</v>
      </c>
      <c r="DK2" s="59" t="s">
        <v>793</v>
      </c>
      <c r="DL2" s="59" t="s">
        <v>789</v>
      </c>
      <c r="DN2" s="59" t="s">
        <v>767</v>
      </c>
      <c r="DO2" s="59" t="s">
        <v>768</v>
      </c>
      <c r="DP2" s="59" t="s">
        <v>769</v>
      </c>
      <c r="DQ2" s="59" t="s">
        <v>771</v>
      </c>
      <c r="DS2" s="59" t="s">
        <v>750</v>
      </c>
      <c r="DT2" s="59" t="s">
        <v>751</v>
      </c>
      <c r="DU2" s="59" t="s">
        <v>752</v>
      </c>
      <c r="DV2" s="59" t="s">
        <v>759</v>
      </c>
      <c r="DX2" s="59" t="s">
        <v>753</v>
      </c>
      <c r="DY2" s="59" t="s">
        <v>754</v>
      </c>
      <c r="DZ2" s="59" t="s">
        <v>755</v>
      </c>
      <c r="EA2" s="59" t="str">
        <f>DV2</f>
        <v>Aktywa ogółem na dzień 
31 grudnia2022 / Total assets as of 31.12.2022</v>
      </c>
      <c r="EC2" s="59" t="s">
        <v>721</v>
      </c>
      <c r="ED2" s="59" t="s">
        <v>722</v>
      </c>
      <c r="EE2" s="59" t="s">
        <v>723</v>
      </c>
      <c r="EF2" s="59" t="s">
        <v>724</v>
      </c>
      <c r="EH2" s="59" t="s">
        <v>725</v>
      </c>
      <c r="EI2" s="59" t="s">
        <v>726</v>
      </c>
      <c r="EJ2" s="59" t="s">
        <v>727</v>
      </c>
      <c r="EK2" s="59" t="str">
        <f>EF2</f>
        <v>Aktywa ogółem na dzień 
30 września 2022 / Total assets as of 30.09.2022</v>
      </c>
      <c r="EM2" s="59" t="s">
        <v>710</v>
      </c>
      <c r="EN2" s="59" t="s">
        <v>711</v>
      </c>
      <c r="EO2" s="59" t="s">
        <v>712</v>
      </c>
      <c r="EP2" s="59" t="s">
        <v>708</v>
      </c>
      <c r="ER2" s="59" t="s">
        <v>705</v>
      </c>
      <c r="ES2" s="59" t="s">
        <v>706</v>
      </c>
      <c r="ET2" s="59" t="s">
        <v>707</v>
      </c>
      <c r="EU2" s="59" t="s">
        <v>708</v>
      </c>
      <c r="EW2" s="59" t="s">
        <v>693</v>
      </c>
      <c r="EX2" s="59" t="s">
        <v>694</v>
      </c>
      <c r="EY2" s="59" t="s">
        <v>695</v>
      </c>
      <c r="EZ2" s="59" t="s">
        <v>696</v>
      </c>
      <c r="FB2" s="59" t="s">
        <v>663</v>
      </c>
      <c r="FC2" s="59" t="s">
        <v>664</v>
      </c>
      <c r="FD2" s="59" t="s">
        <v>665</v>
      </c>
      <c r="FE2" s="59" t="s">
        <v>670</v>
      </c>
      <c r="FG2" s="59" t="s">
        <v>661</v>
      </c>
      <c r="FH2" s="59" t="s">
        <v>662</v>
      </c>
      <c r="FI2" s="59" t="s">
        <v>666</v>
      </c>
      <c r="FJ2" s="59" t="str">
        <f>FE2</f>
        <v>Aktywa ogółem na dzień 
31 grudnia 2021 / Total assets as of 31.12.2021</v>
      </c>
      <c r="FL2" s="59" t="s">
        <v>647</v>
      </c>
      <c r="FM2" s="59" t="s">
        <v>648</v>
      </c>
      <c r="FN2" s="59" t="s">
        <v>649</v>
      </c>
      <c r="FO2" s="59" t="s">
        <v>650</v>
      </c>
      <c r="FQ2" s="59" t="s">
        <v>651</v>
      </c>
      <c r="FR2" s="59" t="s">
        <v>652</v>
      </c>
      <c r="FS2" s="59" t="s">
        <v>653</v>
      </c>
      <c r="FT2" s="59" t="str">
        <f>FO2</f>
        <v>Aktywa ogółem na dzień 
30 września 2021 / Total assets as of 30.09.2021</v>
      </c>
      <c r="FV2" s="59" t="s">
        <v>638</v>
      </c>
      <c r="FW2" s="59" t="s">
        <v>639</v>
      </c>
      <c r="FX2" s="59" t="s">
        <v>640</v>
      </c>
      <c r="FY2" s="59" t="s">
        <v>641</v>
      </c>
      <c r="GA2" s="59" t="s">
        <v>635</v>
      </c>
      <c r="GB2" s="59" t="s">
        <v>636</v>
      </c>
      <c r="GC2" s="59" t="s">
        <v>637</v>
      </c>
      <c r="GD2" s="59" t="str">
        <f>FY2</f>
        <v>Aktywa ogółem na dzień 
30 czerwca 2021 / Total assets as of 30.06.2021</v>
      </c>
      <c r="GF2" s="59" t="s">
        <v>627</v>
      </c>
      <c r="GG2" s="59" t="s">
        <v>628</v>
      </c>
      <c r="GH2" s="59" t="s">
        <v>629</v>
      </c>
      <c r="GI2" s="59" t="s">
        <v>630</v>
      </c>
      <c r="GK2" s="59" t="s">
        <v>607</v>
      </c>
      <c r="GL2" s="59" t="s">
        <v>608</v>
      </c>
      <c r="GM2" s="59" t="s">
        <v>609</v>
      </c>
      <c r="GN2" s="59" t="s">
        <v>616</v>
      </c>
      <c r="GP2" s="59" t="s">
        <v>610</v>
      </c>
      <c r="GQ2" s="59" t="s">
        <v>611</v>
      </c>
      <c r="GR2" s="59" t="s">
        <v>612</v>
      </c>
      <c r="GS2" s="59" t="str">
        <f>GN2</f>
        <v>Aktywa ogółem na dzień 
31 grudnia 2020 / Total assets as of 31.12.2020</v>
      </c>
      <c r="GU2" s="59" t="s">
        <v>594</v>
      </c>
      <c r="GV2" s="59" t="s">
        <v>595</v>
      </c>
      <c r="GW2" s="59" t="s">
        <v>596</v>
      </c>
      <c r="GX2" s="59" t="s">
        <v>597</v>
      </c>
      <c r="GZ2" s="59" t="s">
        <v>598</v>
      </c>
      <c r="HA2" s="59" t="s">
        <v>599</v>
      </c>
      <c r="HB2" s="59" t="s">
        <v>600</v>
      </c>
      <c r="HC2" s="59" t="str">
        <f>GX2</f>
        <v>Aktywa ogółem na dzień 
30 września 2020 / Total assets as of 30.09.2020</v>
      </c>
      <c r="HE2" s="59" t="s">
        <v>587</v>
      </c>
      <c r="HF2" s="59" t="s">
        <v>588</v>
      </c>
      <c r="HG2" s="59" t="s">
        <v>589</v>
      </c>
      <c r="HH2" s="59" t="s">
        <v>590</v>
      </c>
      <c r="HJ2" s="59" t="s">
        <v>584</v>
      </c>
      <c r="HK2" s="59" t="s">
        <v>585</v>
      </c>
      <c r="HL2" s="59" t="s">
        <v>586</v>
      </c>
      <c r="HM2" s="59" t="s">
        <v>590</v>
      </c>
      <c r="HO2" s="59" t="s">
        <v>574</v>
      </c>
      <c r="HP2" s="59" t="s">
        <v>575</v>
      </c>
      <c r="HQ2" s="59" t="s">
        <v>576</v>
      </c>
      <c r="HR2" s="59" t="s">
        <v>577</v>
      </c>
      <c r="HT2" s="338" t="s">
        <v>564</v>
      </c>
      <c r="HU2" s="338" t="s">
        <v>565</v>
      </c>
      <c r="HV2" s="338" t="s">
        <v>566</v>
      </c>
      <c r="HW2" s="338" t="s">
        <v>567</v>
      </c>
      <c r="HY2" s="338" t="s">
        <v>568</v>
      </c>
      <c r="HZ2" s="338" t="s">
        <v>569</v>
      </c>
      <c r="IA2" s="338" t="s">
        <v>570</v>
      </c>
      <c r="IB2" s="338" t="s">
        <v>567</v>
      </c>
      <c r="ID2" s="338" t="s">
        <v>549</v>
      </c>
      <c r="IE2" s="338" t="s">
        <v>550</v>
      </c>
      <c r="IF2" s="338" t="s">
        <v>551</v>
      </c>
      <c r="IG2" s="338" t="s">
        <v>552</v>
      </c>
      <c r="II2" s="338" t="s">
        <v>553</v>
      </c>
      <c r="IJ2" s="338" t="s">
        <v>554</v>
      </c>
      <c r="IK2" s="338" t="s">
        <v>555</v>
      </c>
      <c r="IL2" s="338" t="s">
        <v>552</v>
      </c>
      <c r="IO2" s="338" t="s">
        <v>541</v>
      </c>
      <c r="IP2" s="338" t="s">
        <v>542</v>
      </c>
      <c r="IQ2" s="338" t="s">
        <v>543</v>
      </c>
      <c r="IR2" s="338" t="s">
        <v>536</v>
      </c>
      <c r="IT2" s="338" t="s">
        <v>537</v>
      </c>
      <c r="IU2" s="338" t="s">
        <v>538</v>
      </c>
      <c r="IV2" s="338" t="s">
        <v>539</v>
      </c>
      <c r="IW2" s="338" t="s">
        <v>536</v>
      </c>
      <c r="IY2" s="338" t="s">
        <v>527</v>
      </c>
      <c r="IZ2" s="338" t="s">
        <v>528</v>
      </c>
      <c r="JA2" s="338" t="s">
        <v>529</v>
      </c>
      <c r="JB2" s="338" t="s">
        <v>530</v>
      </c>
      <c r="JD2" s="338" t="s">
        <v>514</v>
      </c>
      <c r="JE2" s="338" t="s">
        <v>515</v>
      </c>
      <c r="JF2" s="338" t="s">
        <v>516</v>
      </c>
      <c r="JG2" s="338" t="s">
        <v>517</v>
      </c>
      <c r="JI2" s="338" t="s">
        <v>520</v>
      </c>
      <c r="JJ2" s="338" t="s">
        <v>521</v>
      </c>
      <c r="JK2" s="338" t="s">
        <v>522</v>
      </c>
      <c r="JL2" s="338" t="s">
        <v>502</v>
      </c>
      <c r="JN2" s="338" t="s">
        <v>499</v>
      </c>
      <c r="JO2" s="338" t="s">
        <v>500</v>
      </c>
      <c r="JP2" s="338" t="s">
        <v>501</v>
      </c>
      <c r="JQ2" s="338" t="s">
        <v>502</v>
      </c>
      <c r="JS2" s="338" t="s">
        <v>503</v>
      </c>
      <c r="JT2" s="338" t="s">
        <v>504</v>
      </c>
      <c r="JU2" s="338" t="s">
        <v>505</v>
      </c>
      <c r="JV2" s="338" t="s">
        <v>502</v>
      </c>
      <c r="JX2" s="176" t="s">
        <v>490</v>
      </c>
      <c r="JY2" s="176" t="s">
        <v>491</v>
      </c>
      <c r="JZ2" s="176" t="s">
        <v>492</v>
      </c>
      <c r="KA2" s="176" t="s">
        <v>458</v>
      </c>
      <c r="KC2" s="176" t="s">
        <v>455</v>
      </c>
      <c r="KD2" s="176" t="s">
        <v>456</v>
      </c>
      <c r="KE2" s="176" t="s">
        <v>457</v>
      </c>
      <c r="KF2" s="176" t="s">
        <v>458</v>
      </c>
      <c r="KH2" s="176" t="s">
        <v>107</v>
      </c>
      <c r="KI2" s="176" t="s">
        <v>108</v>
      </c>
      <c r="KJ2" s="176" t="s">
        <v>110</v>
      </c>
      <c r="KK2" s="176" t="s">
        <v>112</v>
      </c>
      <c r="KM2" s="176" t="s">
        <v>199</v>
      </c>
      <c r="KN2" s="176" t="s">
        <v>121</v>
      </c>
      <c r="KO2" s="176" t="s">
        <v>122</v>
      </c>
      <c r="KP2" s="176" t="s">
        <v>126</v>
      </c>
      <c r="KR2" s="176" t="s">
        <v>114</v>
      </c>
      <c r="KS2" s="176" t="s">
        <v>115</v>
      </c>
      <c r="KT2" s="176" t="s">
        <v>117</v>
      </c>
      <c r="KU2" s="176" t="s">
        <v>119</v>
      </c>
      <c r="KV2" s="156"/>
      <c r="KW2" s="176" t="s">
        <v>361</v>
      </c>
      <c r="KX2" s="176" t="s">
        <v>364</v>
      </c>
      <c r="KY2" s="176" t="s">
        <v>365</v>
      </c>
      <c r="KZ2" s="176" t="s">
        <v>132</v>
      </c>
      <c r="LA2" s="176"/>
      <c r="LB2" s="176" t="s">
        <v>127</v>
      </c>
      <c r="LC2" s="176" t="s">
        <v>128</v>
      </c>
      <c r="LD2" s="176" t="s">
        <v>130</v>
      </c>
      <c r="LE2" s="176" t="s">
        <v>132</v>
      </c>
      <c r="LF2" s="156"/>
      <c r="LG2" s="176" t="s">
        <v>142</v>
      </c>
      <c r="LH2" s="176" t="s">
        <v>144</v>
      </c>
      <c r="LI2" s="176" t="s">
        <v>146</v>
      </c>
      <c r="LJ2" s="176" t="s">
        <v>140</v>
      </c>
      <c r="LK2" s="156"/>
      <c r="LL2" s="176" t="s">
        <v>134</v>
      </c>
      <c r="LM2" s="176" t="s">
        <v>136</v>
      </c>
      <c r="LN2" s="176" t="s">
        <v>138</v>
      </c>
      <c r="LO2" s="176" t="s">
        <v>140</v>
      </c>
      <c r="LP2" s="156"/>
      <c r="LQ2" s="176" t="s">
        <v>148</v>
      </c>
      <c r="LR2" s="176" t="s">
        <v>150</v>
      </c>
      <c r="LS2" s="176" t="s">
        <v>111</v>
      </c>
      <c r="LT2" s="176" t="s">
        <v>113</v>
      </c>
      <c r="LU2" s="156"/>
      <c r="LV2" s="176" t="s">
        <v>153</v>
      </c>
      <c r="LW2" s="176" t="s">
        <v>123</v>
      </c>
      <c r="LX2" s="176" t="s">
        <v>124</v>
      </c>
      <c r="LY2" s="176" t="s">
        <v>141</v>
      </c>
      <c r="LZ2" s="156"/>
      <c r="MA2" s="176" t="s">
        <v>489</v>
      </c>
      <c r="MB2" s="176" t="s">
        <v>330</v>
      </c>
      <c r="MC2" s="176" t="s">
        <v>488</v>
      </c>
      <c r="MD2" s="176" t="s">
        <v>141</v>
      </c>
      <c r="ME2" s="156"/>
      <c r="MF2" s="176" t="s">
        <v>331</v>
      </c>
      <c r="MG2" s="176" t="s">
        <v>332</v>
      </c>
      <c r="MH2" s="176" t="s">
        <v>333</v>
      </c>
      <c r="MI2" s="176" t="s">
        <v>133</v>
      </c>
      <c r="MJ2" s="156"/>
      <c r="MK2" s="176" t="s">
        <v>337</v>
      </c>
      <c r="ML2" s="176" t="s">
        <v>338</v>
      </c>
      <c r="MM2" s="176" t="s">
        <v>487</v>
      </c>
      <c r="MN2" s="176" t="s">
        <v>133</v>
      </c>
      <c r="MO2" s="156"/>
      <c r="MP2" s="176" t="s">
        <v>342</v>
      </c>
      <c r="MQ2" s="176" t="s">
        <v>486</v>
      </c>
      <c r="MR2" s="176" t="s">
        <v>485</v>
      </c>
      <c r="MS2" s="176" t="s">
        <v>159</v>
      </c>
      <c r="MT2" s="156"/>
      <c r="MU2" s="176" t="s">
        <v>135</v>
      </c>
      <c r="MV2" s="176" t="s">
        <v>343</v>
      </c>
      <c r="MW2" s="176" t="s">
        <v>484</v>
      </c>
      <c r="MX2" s="176" t="s">
        <v>159</v>
      </c>
      <c r="MY2" s="156"/>
      <c r="MZ2" s="176" t="s">
        <v>149</v>
      </c>
      <c r="NA2" s="176" t="s">
        <v>346</v>
      </c>
      <c r="NB2" s="176" t="s">
        <v>483</v>
      </c>
      <c r="NC2" s="176" t="s">
        <v>162</v>
      </c>
      <c r="ND2" s="156"/>
      <c r="NE2" s="176" t="s">
        <v>163</v>
      </c>
      <c r="NF2" s="176" t="s">
        <v>164</v>
      </c>
      <c r="NG2" s="176" t="s">
        <v>165</v>
      </c>
      <c r="NH2" s="176" t="s">
        <v>166</v>
      </c>
      <c r="NI2" s="156"/>
      <c r="NJ2" s="176" t="s">
        <v>481</v>
      </c>
      <c r="NK2" s="176" t="s">
        <v>479</v>
      </c>
      <c r="NL2" s="176" t="s">
        <v>477</v>
      </c>
      <c r="NM2" s="176" t="s">
        <v>166</v>
      </c>
      <c r="NN2" s="177"/>
      <c r="NO2" s="176" t="s">
        <v>349</v>
      </c>
      <c r="NP2" s="176" t="s">
        <v>353</v>
      </c>
      <c r="NQ2" s="176" t="s">
        <v>367</v>
      </c>
      <c r="NR2" s="176" t="s">
        <v>158</v>
      </c>
      <c r="NS2" s="156"/>
      <c r="NT2" s="176" t="s">
        <v>475</v>
      </c>
      <c r="NU2" s="176" t="s">
        <v>473</v>
      </c>
      <c r="NV2" s="176" t="s">
        <v>471</v>
      </c>
      <c r="NW2" s="176" t="s">
        <v>158</v>
      </c>
      <c r="NX2" s="156"/>
      <c r="NY2" s="176" t="s">
        <v>341</v>
      </c>
      <c r="NZ2" s="176" t="s">
        <v>469</v>
      </c>
      <c r="OA2" s="176" t="s">
        <v>467</v>
      </c>
      <c r="OB2" s="176" t="s">
        <v>172</v>
      </c>
      <c r="OC2" s="156"/>
      <c r="OD2" s="176" t="s">
        <v>465</v>
      </c>
      <c r="OE2" s="176" t="s">
        <v>461</v>
      </c>
      <c r="OF2" s="176" t="s">
        <v>462</v>
      </c>
      <c r="OG2" s="176" t="s">
        <v>172</v>
      </c>
      <c r="OH2" s="156"/>
      <c r="OI2" s="176" t="s">
        <v>459</v>
      </c>
      <c r="OJ2" s="176" t="s">
        <v>355</v>
      </c>
      <c r="OK2" s="176" t="s">
        <v>460</v>
      </c>
      <c r="OL2" s="176" t="s">
        <v>174</v>
      </c>
      <c r="OM2" s="156"/>
      <c r="ON2" s="177" t="s">
        <v>370</v>
      </c>
      <c r="OO2" s="178" t="s">
        <v>176</v>
      </c>
      <c r="OP2" s="178" t="s">
        <v>87</v>
      </c>
      <c r="OQ2" s="178" t="s">
        <v>88</v>
      </c>
      <c r="OR2" s="178" t="s">
        <v>177</v>
      </c>
      <c r="OS2" s="156"/>
      <c r="OT2" s="178" t="s">
        <v>350</v>
      </c>
      <c r="OU2" s="178" t="s">
        <v>94</v>
      </c>
      <c r="OV2" s="178" t="s">
        <v>95</v>
      </c>
      <c r="OW2" s="178" t="s">
        <v>189</v>
      </c>
      <c r="OX2" s="156"/>
      <c r="OY2" s="178" t="s">
        <v>193</v>
      </c>
      <c r="OZ2" s="178" t="s">
        <v>102</v>
      </c>
      <c r="PA2" s="178" t="s">
        <v>103</v>
      </c>
      <c r="PB2" s="178" t="s">
        <v>194</v>
      </c>
      <c r="PC2" s="156"/>
      <c r="PD2" s="156"/>
      <c r="PE2" s="156"/>
      <c r="PF2" s="156"/>
      <c r="PG2" s="156"/>
      <c r="PH2" s="156"/>
      <c r="PI2" s="156"/>
      <c r="PJ2" s="156"/>
      <c r="PK2" s="156"/>
      <c r="PL2" s="156"/>
      <c r="PM2" s="156"/>
      <c r="PN2" s="156"/>
      <c r="PO2" s="156"/>
      <c r="PP2" s="156"/>
      <c r="PQ2" s="156"/>
      <c r="PR2" s="156"/>
      <c r="PS2" s="156"/>
      <c r="PT2" s="156"/>
      <c r="PU2" s="156"/>
      <c r="PV2" s="156"/>
      <c r="PW2" s="156"/>
      <c r="PX2" s="156"/>
      <c r="PY2" s="156"/>
      <c r="PZ2" s="156"/>
      <c r="QA2" s="156"/>
      <c r="QB2" s="156"/>
      <c r="QC2" s="156"/>
      <c r="QD2" s="156"/>
      <c r="QE2" s="156"/>
      <c r="QF2" s="156"/>
      <c r="QG2" s="156"/>
      <c r="QH2" s="156"/>
      <c r="QI2" s="156"/>
      <c r="QJ2" s="156"/>
      <c r="QK2" s="156"/>
      <c r="QL2" s="156"/>
      <c r="QM2" s="156"/>
      <c r="QN2" s="156"/>
      <c r="QO2" s="156"/>
      <c r="QP2" s="156"/>
      <c r="QQ2" s="156"/>
      <c r="QR2" s="156"/>
      <c r="QS2" s="156"/>
      <c r="QT2" s="156"/>
    </row>
    <row r="3" spans="1:462">
      <c r="A3" s="304" t="s">
        <v>75</v>
      </c>
      <c r="C3" s="756"/>
      <c r="D3" s="756"/>
      <c r="E3" s="756"/>
      <c r="F3" s="756"/>
      <c r="H3" s="756"/>
      <c r="I3" s="756"/>
      <c r="J3" s="756"/>
      <c r="K3" s="756"/>
      <c r="N3" s="667"/>
      <c r="O3" s="667"/>
      <c r="P3" s="667"/>
      <c r="R3" s="667"/>
      <c r="S3" s="667"/>
      <c r="T3" s="667"/>
      <c r="U3" s="667"/>
      <c r="W3" s="667"/>
      <c r="X3" s="667"/>
      <c r="Y3" s="667"/>
      <c r="Z3" s="667"/>
      <c r="AB3" s="667"/>
      <c r="AC3" s="667"/>
      <c r="AD3" s="667"/>
      <c r="AE3" s="667"/>
      <c r="AG3" s="667"/>
      <c r="AH3" s="667"/>
      <c r="AI3" s="667"/>
      <c r="AJ3" s="667"/>
      <c r="AL3" s="667"/>
      <c r="AM3" s="667"/>
      <c r="AN3" s="667"/>
      <c r="AO3" s="667"/>
      <c r="AQ3" s="667"/>
      <c r="AR3" s="667"/>
      <c r="AS3" s="667"/>
      <c r="AT3" s="667"/>
      <c r="AW3" s="667"/>
      <c r="AX3" s="667"/>
      <c r="AY3" s="667"/>
      <c r="BA3" s="667"/>
      <c r="BB3" s="667"/>
      <c r="BC3" s="667"/>
      <c r="BD3" s="667"/>
      <c r="BF3" s="667"/>
      <c r="BG3" s="667"/>
      <c r="BH3" s="667"/>
      <c r="BI3" s="667"/>
      <c r="BK3" s="667"/>
      <c r="BL3" s="667"/>
      <c r="BM3" s="667"/>
      <c r="BN3" s="667"/>
      <c r="BP3" s="667"/>
      <c r="BQ3" s="667"/>
      <c r="BR3" s="667"/>
      <c r="BS3" s="667"/>
      <c r="BU3" s="667"/>
      <c r="BV3" s="667"/>
      <c r="BW3" s="667"/>
      <c r="BX3" s="667"/>
      <c r="BZ3" s="667"/>
      <c r="CA3" s="667"/>
      <c r="CB3" s="667"/>
      <c r="CC3" s="667"/>
      <c r="CE3" s="667"/>
      <c r="CF3" s="667"/>
      <c r="CG3" s="667"/>
      <c r="CH3" s="667"/>
      <c r="CJ3" s="667"/>
      <c r="CK3" s="667"/>
      <c r="CL3" s="667"/>
      <c r="CM3" s="667"/>
      <c r="CO3" s="667"/>
      <c r="CP3" s="667"/>
      <c r="CQ3" s="667"/>
      <c r="CR3" s="667"/>
      <c r="CT3" s="667"/>
      <c r="CU3" s="667"/>
      <c r="CV3" s="667"/>
      <c r="CW3" s="667"/>
      <c r="CY3" s="667"/>
      <c r="CZ3" s="667"/>
      <c r="DA3" s="667"/>
      <c r="DB3" s="667"/>
      <c r="DD3" s="667"/>
      <c r="DE3" s="667"/>
      <c r="DF3" s="667"/>
      <c r="DG3" s="667"/>
      <c r="DI3" s="667"/>
      <c r="DJ3" s="667"/>
      <c r="DK3" s="667"/>
      <c r="DL3" s="667"/>
      <c r="DN3" s="667"/>
      <c r="DO3" s="667"/>
      <c r="DP3" s="667"/>
      <c r="DQ3" s="667"/>
      <c r="DS3" s="667">
        <v>0</v>
      </c>
      <c r="DT3" s="667">
        <v>0</v>
      </c>
      <c r="DU3" s="667">
        <v>0</v>
      </c>
      <c r="DV3" s="667">
        <v>0</v>
      </c>
      <c r="DX3" s="667"/>
      <c r="DY3" s="667"/>
      <c r="DZ3" s="667"/>
      <c r="EA3" s="667"/>
      <c r="EC3" s="334">
        <v>444000</v>
      </c>
      <c r="ED3" s="334">
        <v>-53000</v>
      </c>
      <c r="EE3" s="334">
        <v>-81000</v>
      </c>
      <c r="EF3" s="334">
        <f t="shared" ref="EF3:EF9" si="0">EK3</f>
        <v>900000</v>
      </c>
      <c r="EH3" s="334">
        <v>1639000</v>
      </c>
      <c r="EI3" s="334">
        <v>271000</v>
      </c>
      <c r="EJ3" s="334">
        <v>57000</v>
      </c>
      <c r="EK3" s="334">
        <v>900000</v>
      </c>
      <c r="EM3" s="334">
        <f t="shared" ref="EM3:EO9" si="1">ER3-EW3</f>
        <v>637000</v>
      </c>
      <c r="EN3" s="334">
        <f t="shared" si="1"/>
        <v>207000</v>
      </c>
      <c r="EO3" s="334">
        <f t="shared" si="1"/>
        <v>73000</v>
      </c>
      <c r="EP3" s="334">
        <v>766000</v>
      </c>
      <c r="ER3" s="334">
        <v>1195000</v>
      </c>
      <c r="ES3" s="334">
        <v>324000</v>
      </c>
      <c r="ET3" s="334">
        <v>138000</v>
      </c>
      <c r="EU3" s="334">
        <v>766000</v>
      </c>
      <c r="EW3" s="334">
        <v>558000</v>
      </c>
      <c r="EX3" s="334">
        <v>117000</v>
      </c>
      <c r="EY3" s="334">
        <v>65000</v>
      </c>
      <c r="EZ3" s="334">
        <v>915000</v>
      </c>
      <c r="FB3" s="334">
        <f t="shared" ref="FB3:FD9" si="2">FG3-FQ3</f>
        <v>476951</v>
      </c>
      <c r="FC3" s="334">
        <f t="shared" si="2"/>
        <v>44292</v>
      </c>
      <c r="FD3" s="334">
        <f t="shared" si="2"/>
        <v>1650</v>
      </c>
      <c r="FE3" s="334">
        <f t="shared" ref="FE3:FE9" si="3">FJ3</f>
        <v>899000</v>
      </c>
      <c r="FG3" s="334">
        <v>1467000</v>
      </c>
      <c r="FH3" s="334">
        <v>-130000</v>
      </c>
      <c r="FI3" s="334">
        <v>-458000</v>
      </c>
      <c r="FJ3" s="334">
        <v>899000</v>
      </c>
      <c r="FL3" s="334">
        <f t="shared" ref="FL3:FN9" si="4">FQ3-GA3</f>
        <v>410046</v>
      </c>
      <c r="FM3" s="334">
        <f t="shared" si="4"/>
        <v>-128865</v>
      </c>
      <c r="FN3" s="334">
        <f t="shared" si="4"/>
        <v>-138814</v>
      </c>
      <c r="FO3" s="334">
        <f t="shared" ref="FO3:FO9" si="5">FT3</f>
        <v>913954</v>
      </c>
      <c r="FQ3" s="334">
        <v>990049</v>
      </c>
      <c r="FR3" s="334">
        <v>-174292</v>
      </c>
      <c r="FS3" s="334">
        <v>-459650</v>
      </c>
      <c r="FT3" s="334">
        <v>913954</v>
      </c>
      <c r="FV3" s="334">
        <f t="shared" ref="FV3:FX9" si="6">GA3-GF3</f>
        <v>277409</v>
      </c>
      <c r="FW3" s="334">
        <f t="shared" si="6"/>
        <v>-31805</v>
      </c>
      <c r="FX3" s="334">
        <f t="shared" si="6"/>
        <v>-270980</v>
      </c>
      <c r="FY3" s="334">
        <f t="shared" ref="FY3:FY9" si="7">GD3</f>
        <v>992426</v>
      </c>
      <c r="GA3" s="334">
        <v>580003</v>
      </c>
      <c r="GB3" s="334">
        <v>-45427</v>
      </c>
      <c r="GC3" s="334">
        <v>-320836</v>
      </c>
      <c r="GD3" s="334">
        <v>992426</v>
      </c>
      <c r="GF3" s="334">
        <v>302594</v>
      </c>
      <c r="GG3" s="334">
        <v>-13622</v>
      </c>
      <c r="GH3" s="334">
        <v>-49856</v>
      </c>
      <c r="GI3" s="334">
        <v>1170623</v>
      </c>
      <c r="GK3" s="334">
        <f t="shared" ref="GK3:GM10" si="8">GP3-GZ3</f>
        <v>263199</v>
      </c>
      <c r="GL3" s="334">
        <f t="shared" si="8"/>
        <v>-124915</v>
      </c>
      <c r="GM3" s="334">
        <f t="shared" si="8"/>
        <v>-538919</v>
      </c>
      <c r="GN3" s="334">
        <f t="shared" ref="GN3:GN10" si="9">GS3</f>
        <v>1115883</v>
      </c>
      <c r="GP3" s="334">
        <v>1051923</v>
      </c>
      <c r="GQ3" s="334">
        <v>-157321</v>
      </c>
      <c r="GR3" s="334">
        <v>-886665</v>
      </c>
      <c r="GS3" s="334">
        <v>1115883</v>
      </c>
      <c r="GU3" s="334">
        <v>285753</v>
      </c>
      <c r="GV3" s="334">
        <v>-39185</v>
      </c>
      <c r="GW3" s="334">
        <v>-76441</v>
      </c>
      <c r="GX3" s="334">
        <f t="shared" ref="GX3:GX10" si="10">HC3</f>
        <v>1441598</v>
      </c>
      <c r="GZ3" s="334">
        <v>788724</v>
      </c>
      <c r="HA3" s="334">
        <v>-32406</v>
      </c>
      <c r="HB3" s="334">
        <v>-347746</v>
      </c>
      <c r="HC3" s="334">
        <v>1441598</v>
      </c>
      <c r="HE3" s="334">
        <f t="shared" ref="HE3:HG10" si="11">HJ3-HO3</f>
        <v>266547</v>
      </c>
      <c r="HF3" s="335">
        <f t="shared" si="11"/>
        <v>43134</v>
      </c>
      <c r="HG3" s="334">
        <f t="shared" si="11"/>
        <v>-187414</v>
      </c>
      <c r="HH3" s="334">
        <v>1390938</v>
      </c>
      <c r="HJ3" s="334">
        <v>502971</v>
      </c>
      <c r="HK3" s="335">
        <v>6779</v>
      </c>
      <c r="HL3" s="334">
        <v>-271305</v>
      </c>
      <c r="HM3" s="334">
        <v>1390938</v>
      </c>
      <c r="HO3" s="334">
        <v>236424</v>
      </c>
      <c r="HP3" s="335">
        <v>-36355</v>
      </c>
      <c r="HQ3" s="334">
        <v>-83891</v>
      </c>
      <c r="HR3" s="334">
        <v>1407752</v>
      </c>
      <c r="HT3" s="339">
        <v>944433</v>
      </c>
      <c r="HU3" s="340">
        <v>-499865</v>
      </c>
      <c r="HV3" s="339">
        <v>-1391949</v>
      </c>
      <c r="HW3" s="339">
        <v>1294329</v>
      </c>
      <c r="HY3" s="339">
        <v>211025</v>
      </c>
      <c r="HZ3" s="340">
        <v>-238211</v>
      </c>
      <c r="IA3" s="339">
        <v>-715608</v>
      </c>
      <c r="IB3" s="339">
        <v>1294329</v>
      </c>
      <c r="ID3" s="339">
        <v>733408</v>
      </c>
      <c r="IE3" s="340">
        <v>-261654</v>
      </c>
      <c r="IF3" s="339">
        <v>-676341</v>
      </c>
      <c r="IG3" s="339">
        <v>1608857</v>
      </c>
      <c r="II3" s="339">
        <v>201718</v>
      </c>
      <c r="IJ3" s="340">
        <v>-118717</v>
      </c>
      <c r="IK3" s="339">
        <v>-165004</v>
      </c>
      <c r="IL3" s="339">
        <v>1608857</v>
      </c>
      <c r="IO3" s="339">
        <v>531690</v>
      </c>
      <c r="IP3" s="340">
        <v>-142937</v>
      </c>
      <c r="IQ3" s="339">
        <v>-511337</v>
      </c>
      <c r="IR3" s="339">
        <v>1544654</v>
      </c>
      <c r="IT3" s="339">
        <v>239824</v>
      </c>
      <c r="IU3" s="340">
        <v>-98651</v>
      </c>
      <c r="IV3" s="339">
        <v>-415418</v>
      </c>
      <c r="IW3" s="339">
        <v>1544654</v>
      </c>
      <c r="IY3" s="339">
        <v>291866</v>
      </c>
      <c r="IZ3" s="340">
        <v>-44286</v>
      </c>
      <c r="JA3" s="339">
        <v>-95919</v>
      </c>
      <c r="JB3" s="339">
        <v>1743682</v>
      </c>
      <c r="JD3" s="339">
        <v>1266024</v>
      </c>
      <c r="JE3" s="339">
        <v>-207181</v>
      </c>
      <c r="JF3" s="339">
        <v>-1053469</v>
      </c>
      <c r="JG3" s="339">
        <v>1589823</v>
      </c>
      <c r="JI3" s="339">
        <v>314649</v>
      </c>
      <c r="JJ3" s="340">
        <v>-112725</v>
      </c>
      <c r="JK3" s="339">
        <v>-136788</v>
      </c>
      <c r="JL3" s="339">
        <v>1589823</v>
      </c>
      <c r="JN3" s="339">
        <v>951375</v>
      </c>
      <c r="JO3" s="340">
        <v>-94456</v>
      </c>
      <c r="JP3" s="339">
        <v>-916681</v>
      </c>
      <c r="JQ3" s="339">
        <v>1487764</v>
      </c>
      <c r="JS3" s="339">
        <v>272589</v>
      </c>
      <c r="JT3" s="340">
        <v>-28789</v>
      </c>
      <c r="JU3" s="339">
        <v>-50515</v>
      </c>
      <c r="JV3" s="339">
        <v>1487764</v>
      </c>
      <c r="JX3" s="165">
        <v>678786</v>
      </c>
      <c r="JY3" s="317">
        <v>-65667</v>
      </c>
      <c r="JZ3" s="165">
        <v>-866166</v>
      </c>
      <c r="KA3" s="165">
        <v>1397631</v>
      </c>
      <c r="KC3" s="165">
        <v>293543</v>
      </c>
      <c r="KD3" s="317">
        <v>-76005</v>
      </c>
      <c r="KE3" s="165">
        <v>-842790</v>
      </c>
      <c r="KF3" s="165">
        <v>1397631</v>
      </c>
      <c r="KH3" s="155">
        <v>385243</v>
      </c>
      <c r="KI3" s="182">
        <v>10338</v>
      </c>
      <c r="KJ3" s="155">
        <v>-23376</v>
      </c>
      <c r="KK3" s="155">
        <v>2126068</v>
      </c>
      <c r="KM3" s="155">
        <v>1541425</v>
      </c>
      <c r="KN3" s="155">
        <v>-83036</v>
      </c>
      <c r="KO3" s="155">
        <v>-211070</v>
      </c>
      <c r="KP3" s="155">
        <v>2085538</v>
      </c>
      <c r="KR3" s="155">
        <v>422958</v>
      </c>
      <c r="KS3" s="182">
        <v>-41352</v>
      </c>
      <c r="KT3" s="155">
        <v>-75834</v>
      </c>
      <c r="KU3" s="155">
        <v>2085538</v>
      </c>
      <c r="KV3" s="156"/>
      <c r="KW3" s="155">
        <v>1118467</v>
      </c>
      <c r="KX3" s="155">
        <v>-41684</v>
      </c>
      <c r="KY3" s="155">
        <v>-135236</v>
      </c>
      <c r="KZ3" s="155">
        <v>2009687</v>
      </c>
      <c r="LA3" s="155"/>
      <c r="LB3" s="155">
        <v>336783</v>
      </c>
      <c r="LC3" s="155">
        <v>-36968</v>
      </c>
      <c r="LD3" s="155">
        <v>-69420</v>
      </c>
      <c r="LE3" s="155">
        <v>2009687</v>
      </c>
      <c r="LF3" s="156"/>
      <c r="LG3" s="155">
        <v>781684</v>
      </c>
      <c r="LH3" s="155">
        <v>-4716</v>
      </c>
      <c r="LI3" s="155">
        <v>-65816</v>
      </c>
      <c r="LJ3" s="155">
        <v>2020059</v>
      </c>
      <c r="LK3" s="156"/>
      <c r="LL3" s="155">
        <f t="shared" ref="LL3:LN9" si="12">LG3-LQ3</f>
        <v>397591</v>
      </c>
      <c r="LM3" s="155">
        <f t="shared" si="12"/>
        <v>24737</v>
      </c>
      <c r="LN3" s="155">
        <f t="shared" si="12"/>
        <v>-6171</v>
      </c>
      <c r="LO3" s="155">
        <f>LT3</f>
        <v>2011921</v>
      </c>
      <c r="LP3" s="156"/>
      <c r="LQ3" s="155">
        <v>384093</v>
      </c>
      <c r="LR3" s="155">
        <v>-29453</v>
      </c>
      <c r="LS3" s="155">
        <v>-59645</v>
      </c>
      <c r="LT3" s="155">
        <v>2011921</v>
      </c>
      <c r="LU3" s="156"/>
      <c r="LV3" s="155">
        <v>1311143</v>
      </c>
      <c r="LW3" s="155">
        <v>-82130</v>
      </c>
      <c r="LX3" s="155">
        <v>-205163</v>
      </c>
      <c r="LY3" s="155">
        <v>2069263</v>
      </c>
      <c r="LZ3" s="156"/>
      <c r="MA3" s="155">
        <v>423619</v>
      </c>
      <c r="MB3" s="155">
        <v>54528</v>
      </c>
      <c r="MC3" s="155">
        <v>23540</v>
      </c>
      <c r="MD3" s="155">
        <v>2069263</v>
      </c>
      <c r="ME3" s="156"/>
      <c r="MF3" s="155">
        <v>887524</v>
      </c>
      <c r="MG3" s="155">
        <v>-136658</v>
      </c>
      <c r="MH3" s="155">
        <v>-228703</v>
      </c>
      <c r="MI3" s="155">
        <v>1949034</v>
      </c>
      <c r="MJ3" s="156"/>
      <c r="MK3" s="155">
        <v>375392</v>
      </c>
      <c r="ML3" s="155">
        <v>32590</v>
      </c>
      <c r="MM3" s="155">
        <v>1833</v>
      </c>
      <c r="MN3" s="155">
        <v>1949034</v>
      </c>
      <c r="MO3" s="156"/>
      <c r="MP3" s="155">
        <v>512132</v>
      </c>
      <c r="MQ3" s="155">
        <v>-169248</v>
      </c>
      <c r="MR3" s="155">
        <v>-230536</v>
      </c>
      <c r="MS3" s="155">
        <v>1954277</v>
      </c>
      <c r="MT3" s="156"/>
      <c r="MU3" s="155">
        <v>257978</v>
      </c>
      <c r="MV3" s="155">
        <v>-104490</v>
      </c>
      <c r="MW3" s="155">
        <v>-127029</v>
      </c>
      <c r="MX3" s="155">
        <v>1954277</v>
      </c>
      <c r="MY3" s="156"/>
      <c r="MZ3" s="155">
        <v>254154</v>
      </c>
      <c r="NA3" s="155">
        <v>-64758</v>
      </c>
      <c r="NB3" s="155">
        <v>-103507</v>
      </c>
      <c r="NC3" s="155">
        <v>1952787</v>
      </c>
      <c r="ND3" s="156"/>
      <c r="NE3" s="155">
        <v>1205944</v>
      </c>
      <c r="NF3" s="155">
        <v>9137</v>
      </c>
      <c r="NG3" s="155">
        <v>-104328</v>
      </c>
      <c r="NH3" s="155">
        <v>1657407</v>
      </c>
      <c r="NI3" s="162"/>
      <c r="NJ3" s="155">
        <v>331130</v>
      </c>
      <c r="NK3" s="155">
        <v>32369</v>
      </c>
      <c r="NL3" s="155">
        <v>3251</v>
      </c>
      <c r="NM3" s="155">
        <v>1657407</v>
      </c>
      <c r="NN3" s="162"/>
      <c r="NO3" s="155">
        <v>874814</v>
      </c>
      <c r="NP3" s="155">
        <v>-23232</v>
      </c>
      <c r="NQ3" s="155">
        <v>-107579</v>
      </c>
      <c r="NR3" s="155">
        <v>1691191</v>
      </c>
      <c r="NS3" s="156"/>
      <c r="NT3" s="155">
        <v>332863</v>
      </c>
      <c r="NU3" s="155">
        <v>134670</v>
      </c>
      <c r="NV3" s="155">
        <v>106686</v>
      </c>
      <c r="NW3" s="155">
        <v>1691191</v>
      </c>
      <c r="NX3" s="156"/>
      <c r="NY3" s="155">
        <v>541951</v>
      </c>
      <c r="NZ3" s="155">
        <v>-157903</v>
      </c>
      <c r="OA3" s="155">
        <v>-214265</v>
      </c>
      <c r="OB3" s="155">
        <v>1728184</v>
      </c>
      <c r="OC3" s="156"/>
      <c r="OD3" s="155">
        <v>273192</v>
      </c>
      <c r="OE3" s="155">
        <v>-113717</v>
      </c>
      <c r="OF3" s="155">
        <v>-142220</v>
      </c>
      <c r="OG3" s="155">
        <v>1728184</v>
      </c>
      <c r="OH3" s="156"/>
      <c r="OI3" s="155">
        <v>268759</v>
      </c>
      <c r="OJ3" s="155">
        <v>-44186</v>
      </c>
      <c r="OK3" s="155">
        <v>-72045</v>
      </c>
      <c r="OL3" s="155">
        <v>1773973</v>
      </c>
      <c r="OM3" s="156"/>
      <c r="ON3" s="163" t="s">
        <v>79</v>
      </c>
      <c r="OO3" s="161">
        <v>1194024</v>
      </c>
      <c r="OP3" s="161">
        <v>98412</v>
      </c>
      <c r="OQ3" s="161">
        <v>-6829</v>
      </c>
      <c r="OR3" s="161">
        <v>1742510</v>
      </c>
      <c r="OS3" s="156"/>
      <c r="OT3" s="161">
        <v>870843</v>
      </c>
      <c r="OU3" s="161">
        <v>83480</v>
      </c>
      <c r="OV3" s="161">
        <v>5347</v>
      </c>
      <c r="OW3" s="161">
        <v>1666780</v>
      </c>
      <c r="OX3" s="156"/>
      <c r="OY3" s="161">
        <v>529412</v>
      </c>
      <c r="OZ3" s="161">
        <v>28174</v>
      </c>
      <c r="PA3" s="161">
        <v>-23785</v>
      </c>
      <c r="PB3" s="161">
        <v>1640587</v>
      </c>
      <c r="PC3" s="156"/>
      <c r="PD3" s="156"/>
      <c r="PE3" s="156"/>
      <c r="PF3" s="156"/>
      <c r="PG3" s="156"/>
      <c r="PH3" s="156"/>
      <c r="PI3" s="156"/>
      <c r="PJ3" s="156"/>
      <c r="PK3" s="156"/>
      <c r="PL3" s="156"/>
      <c r="PM3" s="156"/>
      <c r="PN3" s="156"/>
      <c r="PO3" s="156"/>
      <c r="PP3" s="156"/>
      <c r="PQ3" s="156"/>
      <c r="PR3" s="156"/>
      <c r="PS3" s="156"/>
      <c r="PT3" s="156"/>
      <c r="PU3" s="156"/>
      <c r="PV3" s="156"/>
      <c r="PW3" s="156"/>
      <c r="PX3" s="156"/>
      <c r="PY3" s="156"/>
      <c r="PZ3" s="156"/>
      <c r="QA3" s="156"/>
      <c r="QB3" s="156"/>
      <c r="QC3" s="156"/>
      <c r="QD3" s="156"/>
      <c r="QE3" s="156"/>
      <c r="QF3" s="156"/>
      <c r="QG3" s="156"/>
      <c r="QH3" s="156"/>
      <c r="QI3" s="156"/>
      <c r="QJ3" s="156"/>
      <c r="QK3" s="156"/>
      <c r="QL3" s="156"/>
      <c r="QM3" s="156"/>
      <c r="QN3" s="156"/>
      <c r="QO3" s="156"/>
      <c r="QP3" s="156"/>
      <c r="QQ3" s="156"/>
      <c r="QR3" s="156"/>
      <c r="QS3" s="156"/>
      <c r="QT3" s="156"/>
    </row>
    <row r="4" spans="1:462">
      <c r="A4" s="460" t="s">
        <v>579</v>
      </c>
      <c r="C4" s="757">
        <f>'[3]segmenty prez'!$F$9*1000</f>
        <v>3902000</v>
      </c>
      <c r="D4" s="757">
        <f>'[3]segmenty prez'!$F$19*1000</f>
        <v>464000</v>
      </c>
      <c r="E4" s="757">
        <f>'[3]segmenty prez'!$F$15*1000</f>
        <v>259000</v>
      </c>
      <c r="F4" s="757">
        <f>'[3]segmenty prez'!$F$28*1000</f>
        <v>4092000</v>
      </c>
      <c r="H4" s="757">
        <f>'[3]segmenty 3 m-ce PREZ'!$F$9*1000</f>
        <v>1826000</v>
      </c>
      <c r="I4" s="757">
        <f>'[3]segmenty 3 m-ce PREZ'!$F$19*1000</f>
        <v>212000</v>
      </c>
      <c r="J4" s="757">
        <f>'[3]segmenty 3 m-ce PREZ'!$F$15*1000</f>
        <v>109000</v>
      </c>
      <c r="K4" s="757">
        <f t="shared" ref="K4:K9" si="13">F4</f>
        <v>4092000</v>
      </c>
      <c r="M4" s="668">
        <f>('[4]segmenty prez'!$F$9)*1000</f>
        <v>2076000</v>
      </c>
      <c r="N4" s="668">
        <f>('[4]segmenty prez'!$F$19)*1000</f>
        <v>252000</v>
      </c>
      <c r="O4" s="668">
        <f>('[4]segmenty prez'!$F$15)*1000</f>
        <v>150000</v>
      </c>
      <c r="P4" s="668">
        <f>('[4]segmenty prez'!$F$28)*1000</f>
        <v>4071000</v>
      </c>
      <c r="R4" s="668">
        <f>[5]segmenty!$B$9*1000</f>
        <v>8070000</v>
      </c>
      <c r="S4" s="668">
        <f>[5]segmenty!$B$36*1000</f>
        <v>948000</v>
      </c>
      <c r="T4" s="668">
        <f>[5]segmenty!$B$33*1000</f>
        <v>661000</v>
      </c>
      <c r="U4" s="668">
        <f>[5]segmenty!$B$27*1000</f>
        <v>4072000</v>
      </c>
      <c r="W4" s="668">
        <f t="shared" ref="W4:Y11" si="14">R4-AB4</f>
        <v>2350000</v>
      </c>
      <c r="X4" s="668">
        <f t="shared" si="14"/>
        <v>209000</v>
      </c>
      <c r="Y4" s="668">
        <f>T4-AD4</f>
        <v>169000</v>
      </c>
      <c r="Z4" s="668">
        <f t="shared" ref="Z4:Z11" si="15">U4</f>
        <v>4072000</v>
      </c>
      <c r="AB4" s="668">
        <f>'[6]segmenty prez'!$B$9*1000</f>
        <v>5720000</v>
      </c>
      <c r="AC4" s="668">
        <f>'[6]segmenty prez'!$B$16*1000</f>
        <v>739000</v>
      </c>
      <c r="AD4" s="668">
        <f>'[6]segmenty prez'!$B$12*1000</f>
        <v>492000</v>
      </c>
      <c r="AE4" s="668">
        <f>'[6]segmenty prez'!$B$25*1000</f>
        <v>4101000</v>
      </c>
      <c r="AG4" s="668">
        <f>([6]segmenty!$B$9)*1000</f>
        <v>5720000</v>
      </c>
      <c r="AH4" s="668">
        <f>([6]segmenty!$B$34)*1000</f>
        <v>739000</v>
      </c>
      <c r="AI4" s="668">
        <f>([6]segmenty!$B$31)*1000</f>
        <v>492000</v>
      </c>
      <c r="AJ4" s="668">
        <f>[6]segmenty!$B$25*1000</f>
        <v>4101000</v>
      </c>
      <c r="AL4" s="668">
        <f>'[7]segmenty prez'!$B$9*1000</f>
        <v>3912000</v>
      </c>
      <c r="AM4" s="668">
        <f>'[7]segmenty prez'!$B$16*1000</f>
        <v>506000</v>
      </c>
      <c r="AN4" s="668">
        <f>'[7]segmenty prez'!$B$12*1000</f>
        <v>359000</v>
      </c>
      <c r="AO4" s="668">
        <f>'[7]segmenty prez'!$B$25*1000</f>
        <v>4036000</v>
      </c>
      <c r="AQ4" s="668">
        <f>'[7]segmenty 3 m-ce PREZ'!$B$9*1000</f>
        <v>1692000</v>
      </c>
      <c r="AR4" s="668">
        <f>'[7]segmenty 3 m-ce PREZ'!$B$16*1000</f>
        <v>211000</v>
      </c>
      <c r="AS4" s="668">
        <f>'[7]segmenty 3 m-ce PREZ'!$B$12*1000</f>
        <v>117000</v>
      </c>
      <c r="AT4" s="668">
        <f t="shared" ref="AT4:AT9" si="16">AO4</f>
        <v>4036000</v>
      </c>
      <c r="AV4" s="668">
        <f>([8]segmenty!$B$9)*1000</f>
        <v>2220000</v>
      </c>
      <c r="AW4" s="668">
        <f>([8]segmenty!$B$34)*1000</f>
        <v>295000</v>
      </c>
      <c r="AX4" s="668">
        <f>([8]segmenty!$B$31)*1000</f>
        <v>242000</v>
      </c>
      <c r="AY4" s="668">
        <f>([8]segmenty!$B$25)*1000</f>
        <v>4553000</v>
      </c>
      <c r="BA4" s="668">
        <f>[9]segmenty!$B$9*1000</f>
        <v>8215000</v>
      </c>
      <c r="BB4" s="668">
        <f>[9]segmenty!$B$34*1000</f>
        <v>746000</v>
      </c>
      <c r="BC4" s="668">
        <f>[9]segmenty!$B$31*1000</f>
        <v>-1046000</v>
      </c>
      <c r="BD4" s="668">
        <f>[9]segmenty!$B$25*1000</f>
        <v>4305000</v>
      </c>
      <c r="BF4" s="668">
        <f>BA4-BK4</f>
        <v>2562000</v>
      </c>
      <c r="BG4" s="668">
        <f t="shared" ref="BG4:BH11" si="17">BB4-BL4</f>
        <v>437000</v>
      </c>
      <c r="BH4" s="668">
        <f t="shared" si="17"/>
        <v>328000</v>
      </c>
      <c r="BI4" s="668">
        <f t="shared" ref="BI4:BI9" si="18">BD4</f>
        <v>4305000</v>
      </c>
      <c r="BK4" s="668">
        <f>([10]segmenty!$B$9)*1000</f>
        <v>5653000</v>
      </c>
      <c r="BL4" s="668">
        <f>([10]segmenty!$B$34)*1000</f>
        <v>309000</v>
      </c>
      <c r="BM4" s="668">
        <f>([10]segmenty!$B$31)*1000</f>
        <v>-1374000</v>
      </c>
      <c r="BN4" s="668">
        <f>([10]segmenty!$B$25)*1000</f>
        <v>4907000</v>
      </c>
      <c r="BP4" s="668">
        <f>('[6]segmenty 3 m-ce PREZ'!$B$9)*1000</f>
        <v>1808000</v>
      </c>
      <c r="BQ4" s="668">
        <f>('[6]segmenty 3 m-ce PREZ'!$B$16)*1000</f>
        <v>233000</v>
      </c>
      <c r="BR4" s="668">
        <f>('[6]segmenty 3 m-ce PREZ'!$B$12)*1000</f>
        <v>133000</v>
      </c>
      <c r="BS4" s="668">
        <f t="shared" ref="BS4:BS9" si="19">BN4</f>
        <v>4907000</v>
      </c>
      <c r="BU4" s="668">
        <v>3783000</v>
      </c>
      <c r="BV4" s="668">
        <v>156000</v>
      </c>
      <c r="BW4" s="668">
        <v>-1494000</v>
      </c>
      <c r="BX4" s="668">
        <v>5036000</v>
      </c>
      <c r="BZ4" s="668">
        <v>1615000</v>
      </c>
      <c r="CA4" s="668">
        <v>-9000</v>
      </c>
      <c r="CB4" s="668">
        <v>-1596000</v>
      </c>
      <c r="CC4" s="668">
        <f t="shared" ref="CC4:CC9" si="20">BX4</f>
        <v>5036000</v>
      </c>
      <c r="CE4" s="668">
        <v>2168000</v>
      </c>
      <c r="CF4" s="668">
        <v>165000</v>
      </c>
      <c r="CG4" s="668">
        <v>102000</v>
      </c>
      <c r="CH4" s="668">
        <f>[11]segmenty!$B$25*1000</f>
        <v>9914000</v>
      </c>
      <c r="CJ4" s="668">
        <f>([12]segmenty!$B$9)*1000</f>
        <v>13325000</v>
      </c>
      <c r="CK4" s="668">
        <f>([12]segmenty!$B$34)*1000</f>
        <v>1377000</v>
      </c>
      <c r="CL4" s="668">
        <f>([12]segmenty!$B$31)*1000</f>
        <v>347000</v>
      </c>
      <c r="CM4" s="668">
        <f>([12]segmenty!$B$25)*1000</f>
        <v>10023000</v>
      </c>
      <c r="CO4" s="668">
        <f t="shared" ref="CO4:CQ9" si="21">CJ4-CT4</f>
        <v>3811000</v>
      </c>
      <c r="CP4" s="668">
        <f t="shared" si="21"/>
        <v>292000</v>
      </c>
      <c r="CQ4" s="668">
        <f t="shared" si="21"/>
        <v>-388000</v>
      </c>
      <c r="CR4" s="668">
        <f t="shared" ref="CR4:CR9" si="22">CM4</f>
        <v>10023000</v>
      </c>
      <c r="CT4" s="668">
        <f>([13]segmenty!$B$9)*1000</f>
        <v>9514000</v>
      </c>
      <c r="CU4" s="668">
        <f>([13]segmenty!$B$34)*1000</f>
        <v>1085000</v>
      </c>
      <c r="CV4" s="668">
        <f>([13]segmenty!$B$31)*1000</f>
        <v>735000</v>
      </c>
      <c r="CW4" s="668">
        <f>([13]segmenty!$B$25)*1000</f>
        <v>10231000</v>
      </c>
      <c r="CY4" s="668">
        <f>('[13]segmenty 3 m-ce PREZ'!$B$9)*1000</f>
        <v>2646000</v>
      </c>
      <c r="CZ4" s="668">
        <f>('[13]segmenty 3 m-ce PREZ'!$B$16)*1000</f>
        <v>128000</v>
      </c>
      <c r="DA4" s="668">
        <f>('[13]segmenty 3 m-ce PREZ'!$B$12)*1000</f>
        <v>9000</v>
      </c>
      <c r="DB4" s="668">
        <f t="shared" ref="DB4:DB9" si="23">CW4</f>
        <v>10231000</v>
      </c>
      <c r="DD4" s="668">
        <f>[14]segmenty!$B$9*1000</f>
        <v>6868000</v>
      </c>
      <c r="DE4" s="668">
        <f>[14]segmenty!$B$34*1000</f>
        <v>957000</v>
      </c>
      <c r="DF4" s="668">
        <f>[14]segmenty!$B$31*1000</f>
        <v>726000</v>
      </c>
      <c r="DG4" s="668">
        <f>[14]segmenty!$B$25*1000</f>
        <v>10370000</v>
      </c>
      <c r="DI4" s="668">
        <f>('[14]segmenty 3 m-ce'!$B$69)*1000</f>
        <v>2838000</v>
      </c>
      <c r="DJ4" s="668">
        <f>('[14]segmenty 3 m-ce'!$B$84)*1000</f>
        <v>499000</v>
      </c>
      <c r="DK4" s="668">
        <f>('[14]segmenty 3 m-ce'!$B$81)*1000</f>
        <v>380000</v>
      </c>
      <c r="DL4" s="668">
        <f t="shared" ref="DL4:DL9" si="24">DG4</f>
        <v>10370000</v>
      </c>
      <c r="DN4" s="668">
        <f>[15]segmenty!$B$9*1000</f>
        <v>4030000</v>
      </c>
      <c r="DO4" s="668">
        <f>[15]segmenty!$B$34*1000</f>
        <v>458000</v>
      </c>
      <c r="DP4" s="668">
        <f>[15]segmenty!$B$31*1000</f>
        <v>346000</v>
      </c>
      <c r="DQ4" s="668">
        <f>[15]segmenty!$B$25*1000</f>
        <v>10625000</v>
      </c>
      <c r="DS4" s="668">
        <f t="shared" ref="DS4:DU9" si="25">DX4-EH4</f>
        <v>3454000</v>
      </c>
      <c r="DT4" s="668">
        <f t="shared" si="25"/>
        <v>-111000</v>
      </c>
      <c r="DU4" s="668">
        <f t="shared" si="25"/>
        <v>-304000</v>
      </c>
      <c r="DV4" s="668">
        <f t="shared" ref="DV4:DV10" si="26">EA4</f>
        <v>10157000</v>
      </c>
      <c r="DX4" s="668">
        <v>11126000</v>
      </c>
      <c r="DY4" s="668">
        <v>-779000</v>
      </c>
      <c r="DZ4" s="668">
        <v>-1307000</v>
      </c>
      <c r="EA4" s="668">
        <v>10157000</v>
      </c>
      <c r="EC4" s="461">
        <v>2253000</v>
      </c>
      <c r="ED4" s="461">
        <v>-638000</v>
      </c>
      <c r="EE4" s="461">
        <v>-751000</v>
      </c>
      <c r="EF4" s="461">
        <f t="shared" si="0"/>
        <v>8802000</v>
      </c>
      <c r="EH4" s="461">
        <v>7672000</v>
      </c>
      <c r="EI4" s="461">
        <v>-668000</v>
      </c>
      <c r="EJ4" s="461">
        <v>-1003000</v>
      </c>
      <c r="EK4" s="461">
        <v>8802000</v>
      </c>
      <c r="EM4" s="461">
        <f t="shared" si="1"/>
        <v>2363000</v>
      </c>
      <c r="EN4" s="461">
        <f t="shared" si="1"/>
        <v>-925000</v>
      </c>
      <c r="EO4" s="461">
        <f t="shared" si="1"/>
        <v>-1038000</v>
      </c>
      <c r="EP4" s="461">
        <v>8440000</v>
      </c>
      <c r="ER4" s="461">
        <v>5419000</v>
      </c>
      <c r="ES4" s="461">
        <v>-30000</v>
      </c>
      <c r="ET4" s="461">
        <v>-252000</v>
      </c>
      <c r="EU4" s="461">
        <v>8440000</v>
      </c>
      <c r="EW4" s="461">
        <v>3056000</v>
      </c>
      <c r="EX4" s="461">
        <v>895000</v>
      </c>
      <c r="EY4" s="461">
        <v>786000</v>
      </c>
      <c r="EZ4" s="461">
        <v>9122000</v>
      </c>
      <c r="FB4" s="461">
        <f t="shared" si="2"/>
        <v>3400888</v>
      </c>
      <c r="FC4" s="461">
        <f t="shared" si="2"/>
        <v>56825</v>
      </c>
      <c r="FD4" s="461">
        <f t="shared" si="2"/>
        <v>-70423</v>
      </c>
      <c r="FE4" s="461">
        <f t="shared" si="3"/>
        <v>8849000</v>
      </c>
      <c r="FG4" s="461">
        <v>9819000</v>
      </c>
      <c r="FH4" s="461">
        <v>1375000</v>
      </c>
      <c r="FI4" s="461">
        <v>-25000</v>
      </c>
      <c r="FJ4" s="461">
        <v>8849000</v>
      </c>
      <c r="FL4" s="461">
        <f t="shared" si="4"/>
        <v>2359143</v>
      </c>
      <c r="FM4" s="461">
        <f t="shared" si="4"/>
        <v>309951</v>
      </c>
      <c r="FN4" s="461">
        <f t="shared" si="4"/>
        <v>204422</v>
      </c>
      <c r="FO4" s="461">
        <f t="shared" si="5"/>
        <v>8743263</v>
      </c>
      <c r="FQ4" s="461">
        <v>6418112</v>
      </c>
      <c r="FR4" s="461">
        <v>1318175</v>
      </c>
      <c r="FS4" s="461">
        <v>45423</v>
      </c>
      <c r="FT4" s="461">
        <v>8743263</v>
      </c>
      <c r="FV4" s="461">
        <f t="shared" si="6"/>
        <v>1750959</v>
      </c>
      <c r="FW4" s="461">
        <f t="shared" si="6"/>
        <v>321880</v>
      </c>
      <c r="FX4" s="461">
        <f t="shared" si="6"/>
        <v>-729303</v>
      </c>
      <c r="FY4" s="461">
        <f t="shared" si="7"/>
        <v>8695096</v>
      </c>
      <c r="GA4" s="461">
        <v>4058969</v>
      </c>
      <c r="GB4" s="461">
        <v>1008224</v>
      </c>
      <c r="GC4" s="461">
        <v>-158999</v>
      </c>
      <c r="GD4" s="461">
        <v>8695096</v>
      </c>
      <c r="GF4" s="461">
        <v>2308010</v>
      </c>
      <c r="GG4" s="461">
        <v>686344</v>
      </c>
      <c r="GH4" s="461">
        <v>570304</v>
      </c>
      <c r="GI4" s="461">
        <v>10797611</v>
      </c>
      <c r="GK4" s="461">
        <f t="shared" si="8"/>
        <v>1154789</v>
      </c>
      <c r="GL4" s="461">
        <f t="shared" si="8"/>
        <v>124331</v>
      </c>
      <c r="GM4" s="461">
        <f t="shared" si="8"/>
        <v>-2513004</v>
      </c>
      <c r="GN4" s="461">
        <f t="shared" si="9"/>
        <v>8070552</v>
      </c>
      <c r="GP4" s="461">
        <v>3493387</v>
      </c>
      <c r="GQ4" s="461">
        <v>172145</v>
      </c>
      <c r="GR4" s="461">
        <v>-2712856</v>
      </c>
      <c r="GS4" s="461">
        <v>8070552</v>
      </c>
      <c r="GU4" s="461">
        <v>786272</v>
      </c>
      <c r="GV4" s="461">
        <v>21576</v>
      </c>
      <c r="GW4" s="461">
        <v>-44374</v>
      </c>
      <c r="GX4" s="461">
        <f t="shared" si="10"/>
        <v>10026762</v>
      </c>
      <c r="GZ4" s="461">
        <v>2338598</v>
      </c>
      <c r="HA4" s="461">
        <v>47814</v>
      </c>
      <c r="HB4" s="461">
        <v>-199852</v>
      </c>
      <c r="HC4" s="461">
        <v>10026762</v>
      </c>
      <c r="HE4" s="461">
        <f t="shared" si="11"/>
        <v>744938</v>
      </c>
      <c r="HF4" s="462">
        <f t="shared" si="11"/>
        <v>28445</v>
      </c>
      <c r="HG4" s="461">
        <f t="shared" si="11"/>
        <v>-102731</v>
      </c>
      <c r="HH4" s="461">
        <v>9827110</v>
      </c>
      <c r="HJ4" s="461">
        <v>1552326</v>
      </c>
      <c r="HK4" s="462">
        <v>26238</v>
      </c>
      <c r="HL4" s="461">
        <v>-155478</v>
      </c>
      <c r="HM4" s="461">
        <v>9827110</v>
      </c>
      <c r="HO4" s="461">
        <v>807388</v>
      </c>
      <c r="HP4" s="462">
        <v>-2207</v>
      </c>
      <c r="HQ4" s="461">
        <v>-52747</v>
      </c>
      <c r="HR4" s="461">
        <v>12620365</v>
      </c>
      <c r="HS4" s="5"/>
      <c r="HT4" s="339">
        <v>4923281</v>
      </c>
      <c r="HU4" s="340">
        <v>984239</v>
      </c>
      <c r="HV4" s="339">
        <v>-129097</v>
      </c>
      <c r="HW4" s="339">
        <v>15212283</v>
      </c>
      <c r="HY4" s="339">
        <v>1288405</v>
      </c>
      <c r="HZ4" s="340">
        <v>318715</v>
      </c>
      <c r="IA4" s="339">
        <v>-468693</v>
      </c>
      <c r="IB4" s="339">
        <v>15212283</v>
      </c>
      <c r="ID4" s="339">
        <v>3634876</v>
      </c>
      <c r="IE4" s="340">
        <v>665524</v>
      </c>
      <c r="IF4" s="339">
        <v>339596</v>
      </c>
      <c r="IG4" s="339">
        <v>14413311</v>
      </c>
      <c r="II4" s="339">
        <v>1088602</v>
      </c>
      <c r="IJ4" s="340">
        <v>126492</v>
      </c>
      <c r="IK4" s="339">
        <v>14606</v>
      </c>
      <c r="IL4" s="339">
        <v>14413311</v>
      </c>
      <c r="IO4" s="339">
        <v>2546274</v>
      </c>
      <c r="IP4" s="340">
        <v>539032</v>
      </c>
      <c r="IQ4" s="339">
        <v>324990</v>
      </c>
      <c r="IR4" s="339">
        <v>13002265</v>
      </c>
      <c r="IT4" s="339">
        <v>1157326</v>
      </c>
      <c r="IU4" s="340">
        <v>152365</v>
      </c>
      <c r="IV4" s="339">
        <v>44662</v>
      </c>
      <c r="IW4" s="339">
        <v>13002265</v>
      </c>
      <c r="IY4" s="339">
        <v>1388948</v>
      </c>
      <c r="IZ4" s="340">
        <v>386667</v>
      </c>
      <c r="JA4" s="339">
        <v>280328</v>
      </c>
      <c r="JB4" s="339">
        <v>13012934</v>
      </c>
      <c r="JD4" s="339">
        <v>4638494</v>
      </c>
      <c r="JE4" s="339">
        <v>731372</v>
      </c>
      <c r="JF4" s="339">
        <v>196658</v>
      </c>
      <c r="JG4" s="339">
        <v>12712861</v>
      </c>
      <c r="JI4" s="339">
        <v>1369745</v>
      </c>
      <c r="JJ4" s="340">
        <v>82432</v>
      </c>
      <c r="JK4" s="339">
        <v>-494471</v>
      </c>
      <c r="JL4" s="339">
        <v>12712861</v>
      </c>
      <c r="JN4" s="339">
        <v>3268749</v>
      </c>
      <c r="JO4" s="340">
        <v>648940</v>
      </c>
      <c r="JP4" s="339">
        <v>691129</v>
      </c>
      <c r="JQ4" s="339">
        <v>12406932</v>
      </c>
      <c r="JS4" s="339">
        <v>1149397</v>
      </c>
      <c r="JT4" s="340">
        <v>57190</v>
      </c>
      <c r="JU4" s="339">
        <v>-49720</v>
      </c>
      <c r="JV4" s="339">
        <v>12406932</v>
      </c>
      <c r="JX4" s="165">
        <v>2119352</v>
      </c>
      <c r="JY4" s="317">
        <v>591750</v>
      </c>
      <c r="JZ4" s="165">
        <v>740849</v>
      </c>
      <c r="KA4" s="165">
        <v>12218655</v>
      </c>
      <c r="KC4" s="165">
        <v>947169</v>
      </c>
      <c r="KD4" s="317">
        <v>126438</v>
      </c>
      <c r="KE4" s="165">
        <v>369183</v>
      </c>
      <c r="KF4" s="165">
        <v>12218655</v>
      </c>
      <c r="KH4" s="155">
        <v>1172183</v>
      </c>
      <c r="KI4" s="182">
        <v>465312</v>
      </c>
      <c r="KJ4" s="155">
        <v>371666</v>
      </c>
      <c r="KK4" s="155">
        <v>11762964</v>
      </c>
      <c r="KM4" s="155">
        <v>4528480</v>
      </c>
      <c r="KN4" s="155">
        <v>463974</v>
      </c>
      <c r="KO4" s="155">
        <v>16595</v>
      </c>
      <c r="KP4" s="155">
        <v>11802461</v>
      </c>
      <c r="KR4" s="155">
        <v>1203648</v>
      </c>
      <c r="KS4" s="182">
        <v>77580</v>
      </c>
      <c r="KT4" s="155">
        <v>-27589</v>
      </c>
      <c r="KU4" s="155">
        <v>11802461</v>
      </c>
      <c r="KV4" s="156"/>
      <c r="KW4" s="155">
        <v>3324832</v>
      </c>
      <c r="KX4" s="155">
        <v>386394</v>
      </c>
      <c r="KY4" s="155">
        <v>44184</v>
      </c>
      <c r="KZ4" s="155">
        <v>10725845</v>
      </c>
      <c r="LA4" s="155"/>
      <c r="LB4" s="155">
        <v>1042661</v>
      </c>
      <c r="LC4" s="155">
        <v>79923</v>
      </c>
      <c r="LD4" s="155">
        <v>-36258</v>
      </c>
      <c r="LE4" s="155">
        <v>10725845</v>
      </c>
      <c r="LF4" s="156"/>
      <c r="LG4" s="155">
        <v>2282171</v>
      </c>
      <c r="LH4" s="155">
        <v>306471</v>
      </c>
      <c r="LI4" s="155">
        <v>80442</v>
      </c>
      <c r="LJ4" s="155">
        <v>10994483</v>
      </c>
      <c r="LK4" s="156"/>
      <c r="LL4" s="155">
        <f t="shared" si="12"/>
        <v>1063014</v>
      </c>
      <c r="LM4" s="155">
        <f t="shared" si="12"/>
        <v>115805</v>
      </c>
      <c r="LN4" s="155">
        <f t="shared" si="12"/>
        <v>-11816</v>
      </c>
      <c r="LO4" s="155">
        <f>LT4</f>
        <v>10794713</v>
      </c>
      <c r="LP4" s="156"/>
      <c r="LQ4" s="155">
        <v>1219157</v>
      </c>
      <c r="LR4" s="155">
        <v>190666</v>
      </c>
      <c r="LS4" s="155">
        <v>92258</v>
      </c>
      <c r="LT4" s="155">
        <v>10794713</v>
      </c>
      <c r="LU4" s="156"/>
      <c r="LV4" s="155">
        <v>4356101</v>
      </c>
      <c r="LW4" s="155">
        <v>545311</v>
      </c>
      <c r="LX4" s="155">
        <v>-752813</v>
      </c>
      <c r="LY4" s="155">
        <v>10874288</v>
      </c>
      <c r="LZ4" s="156"/>
      <c r="MA4" s="155">
        <v>1112410</v>
      </c>
      <c r="MB4" s="155">
        <v>98202</v>
      </c>
      <c r="MC4" s="155">
        <v>-182972</v>
      </c>
      <c r="MD4" s="155">
        <v>10874288</v>
      </c>
      <c r="ME4" s="156"/>
      <c r="MF4" s="155">
        <v>3243691</v>
      </c>
      <c r="MG4" s="155">
        <v>447109</v>
      </c>
      <c r="MH4" s="155">
        <v>-569841</v>
      </c>
      <c r="MI4" s="155">
        <v>10429522</v>
      </c>
      <c r="MJ4" s="156"/>
      <c r="MK4" s="155">
        <v>901057</v>
      </c>
      <c r="ML4" s="155">
        <v>93148</v>
      </c>
      <c r="MM4" s="155">
        <v>-11530</v>
      </c>
      <c r="MN4" s="155">
        <v>10429522</v>
      </c>
      <c r="MO4" s="156"/>
      <c r="MP4" s="155">
        <v>2342634</v>
      </c>
      <c r="MQ4" s="155">
        <v>353961</v>
      </c>
      <c r="MR4" s="155">
        <v>-558311</v>
      </c>
      <c r="MS4" s="155">
        <v>10151833</v>
      </c>
      <c r="MT4" s="156"/>
      <c r="MU4" s="155">
        <v>1070810</v>
      </c>
      <c r="MV4" s="155">
        <v>162812</v>
      </c>
      <c r="MW4" s="155">
        <v>-647533</v>
      </c>
      <c r="MX4" s="155">
        <v>10151833</v>
      </c>
      <c r="MY4" s="156"/>
      <c r="MZ4" s="155">
        <v>1271824</v>
      </c>
      <c r="NA4" s="155">
        <v>191149</v>
      </c>
      <c r="NB4" s="155">
        <v>89222</v>
      </c>
      <c r="NC4" s="155">
        <v>10775702</v>
      </c>
      <c r="ND4" s="156"/>
      <c r="NE4" s="155">
        <v>5376280</v>
      </c>
      <c r="NF4" s="155">
        <v>754751</v>
      </c>
      <c r="NG4" s="155">
        <v>-3477076</v>
      </c>
      <c r="NH4" s="155">
        <v>10788413</v>
      </c>
      <c r="NI4" s="162"/>
      <c r="NJ4" s="155">
        <v>1464821</v>
      </c>
      <c r="NK4" s="155">
        <v>190712</v>
      </c>
      <c r="NL4" s="155">
        <v>-3607565</v>
      </c>
      <c r="NM4" s="155">
        <v>10788413</v>
      </c>
      <c r="NN4" s="162"/>
      <c r="NO4" s="155">
        <v>3911459</v>
      </c>
      <c r="NP4" s="155">
        <v>564039</v>
      </c>
      <c r="NQ4" s="155">
        <v>130489</v>
      </c>
      <c r="NR4" s="155">
        <v>13965188</v>
      </c>
      <c r="NS4" s="156"/>
      <c r="NT4" s="155">
        <v>1164371</v>
      </c>
      <c r="NU4" s="155">
        <v>97637</v>
      </c>
      <c r="NV4" s="155">
        <v>-51447</v>
      </c>
      <c r="NW4" s="155">
        <v>13965188</v>
      </c>
      <c r="NX4" s="156"/>
      <c r="NY4" s="155">
        <v>2674765</v>
      </c>
      <c r="NZ4" s="155">
        <v>472911</v>
      </c>
      <c r="OA4" s="155">
        <v>181936</v>
      </c>
      <c r="OB4" s="155">
        <v>13605284</v>
      </c>
      <c r="OC4" s="156"/>
      <c r="OD4" s="155">
        <v>1147664</v>
      </c>
      <c r="OE4" s="155">
        <v>188570</v>
      </c>
      <c r="OF4" s="155">
        <v>44376</v>
      </c>
      <c r="OG4" s="155">
        <v>13605284</v>
      </c>
      <c r="OH4" s="156"/>
      <c r="OI4" s="155">
        <v>1527101</v>
      </c>
      <c r="OJ4" s="155">
        <v>284341</v>
      </c>
      <c r="OK4" s="155">
        <v>137560</v>
      </c>
      <c r="OL4" s="155">
        <v>13386310</v>
      </c>
      <c r="OM4" s="156"/>
      <c r="ON4" s="162" t="s">
        <v>80</v>
      </c>
      <c r="OO4" s="155">
        <v>3218162</v>
      </c>
      <c r="OP4" s="155">
        <v>251838</v>
      </c>
      <c r="OQ4" s="155">
        <v>-189247</v>
      </c>
      <c r="OR4" s="179">
        <v>8393127</v>
      </c>
      <c r="OS4" s="156"/>
      <c r="OT4" s="155">
        <v>2304778</v>
      </c>
      <c r="OU4" s="155">
        <v>200144</v>
      </c>
      <c r="OV4" s="155">
        <v>-154254</v>
      </c>
      <c r="OW4" s="179">
        <v>7636136</v>
      </c>
      <c r="OX4" s="156"/>
      <c r="OY4" s="155">
        <v>1472664</v>
      </c>
      <c r="OZ4" s="155">
        <v>126991</v>
      </c>
      <c r="PA4" s="155">
        <v>-110708</v>
      </c>
      <c r="PB4" s="179">
        <v>7741435</v>
      </c>
      <c r="PC4" s="156"/>
      <c r="PD4" s="156"/>
      <c r="PE4" s="156"/>
      <c r="PF4" s="156"/>
      <c r="PG4" s="156"/>
      <c r="PH4" s="156"/>
      <c r="PI4" s="156"/>
      <c r="PJ4" s="156"/>
      <c r="PK4" s="156"/>
      <c r="PL4" s="156"/>
      <c r="PM4" s="156"/>
      <c r="PN4" s="156"/>
      <c r="PO4" s="156"/>
      <c r="PP4" s="156"/>
      <c r="PQ4" s="156"/>
      <c r="PR4" s="156"/>
      <c r="PS4" s="156"/>
      <c r="PT4" s="156"/>
      <c r="PU4" s="156"/>
      <c r="PV4" s="156"/>
      <c r="PW4" s="156"/>
      <c r="PX4" s="156"/>
      <c r="PY4" s="156"/>
      <c r="PZ4" s="156"/>
      <c r="QA4" s="156"/>
      <c r="QB4" s="156"/>
      <c r="QC4" s="156"/>
      <c r="QD4" s="156"/>
      <c r="QE4" s="156"/>
      <c r="QF4" s="156"/>
      <c r="QG4" s="156"/>
      <c r="QH4" s="156"/>
      <c r="QI4" s="156"/>
      <c r="QJ4" s="156"/>
      <c r="QK4" s="156"/>
      <c r="QL4" s="156"/>
      <c r="QM4" s="156"/>
      <c r="QN4" s="156"/>
      <c r="QO4" s="156"/>
      <c r="QP4" s="156"/>
      <c r="QQ4" s="156"/>
      <c r="QR4" s="156"/>
      <c r="QS4" s="156"/>
      <c r="QT4" s="156"/>
    </row>
    <row r="5" spans="1:462">
      <c r="A5" s="460" t="s">
        <v>947</v>
      </c>
      <c r="C5" s="757">
        <f>'[3]segmenty prez'!$D$9*1000</f>
        <v>1282000</v>
      </c>
      <c r="D5" s="757">
        <f>'[3]segmenty prez'!$D$19*1000</f>
        <v>235000</v>
      </c>
      <c r="E5" s="757">
        <f>'[3]segmenty prez'!$D$15*1000</f>
        <v>135000</v>
      </c>
      <c r="F5" s="757">
        <f>'[3]segmenty prez'!$D$28*1000</f>
        <v>2515000</v>
      </c>
      <c r="H5" s="757">
        <f>'[3]segmenty 3 m-ce PREZ'!$D$9*1000</f>
        <v>402000</v>
      </c>
      <c r="I5" s="757">
        <f>'[3]segmenty 3 m-ce PREZ'!$D$19*1000</f>
        <v>30000</v>
      </c>
      <c r="J5" s="757">
        <f>'[3]segmenty 3 m-ce PREZ'!$D$15*1000</f>
        <v>-20000</v>
      </c>
      <c r="K5" s="757">
        <f t="shared" si="13"/>
        <v>2515000</v>
      </c>
      <c r="M5" s="668">
        <f>('[4]segmenty prez'!$D$9)*1000</f>
        <v>880000</v>
      </c>
      <c r="N5" s="668">
        <f>('[4]segmenty prez'!$D$19)*1000</f>
        <v>205000</v>
      </c>
      <c r="O5" s="668">
        <f>('[4]segmenty prez'!$D$15)*1000</f>
        <v>155000</v>
      </c>
      <c r="P5" s="668">
        <f>('[4]segmenty prez'!$D$28)*1000</f>
        <v>2777000</v>
      </c>
      <c r="R5" s="668">
        <f>[5]segmenty!$C$9*1000</f>
        <v>2287000</v>
      </c>
      <c r="S5" s="668">
        <f>[5]segmenty!$C$36*1000</f>
        <v>296000</v>
      </c>
      <c r="T5" s="668">
        <f>[5]segmenty!$C$33*1000</f>
        <v>151000</v>
      </c>
      <c r="U5" s="668">
        <f>[5]segmenty!$C$27*1000</f>
        <v>2915000</v>
      </c>
      <c r="W5" s="668">
        <f t="shared" si="14"/>
        <v>796000</v>
      </c>
      <c r="X5" s="668">
        <f t="shared" si="14"/>
        <v>115000</v>
      </c>
      <c r="Y5" s="668">
        <f t="shared" si="14"/>
        <v>113000</v>
      </c>
      <c r="Z5" s="668">
        <f t="shared" si="15"/>
        <v>2915000</v>
      </c>
      <c r="AB5" s="668">
        <f>'[6]segmenty prez'!$C$9*1000</f>
        <v>1491000</v>
      </c>
      <c r="AC5" s="668">
        <f>'[6]segmenty prez'!$C$16*1000</f>
        <v>181000</v>
      </c>
      <c r="AD5" s="668">
        <f>'[6]segmenty prez'!$C$12*1000</f>
        <v>38000</v>
      </c>
      <c r="AE5" s="668">
        <f>'[6]segmenty prez'!$C$25*1000</f>
        <v>2569000</v>
      </c>
      <c r="AG5" s="668">
        <f>([6]segmenty!$C$9)*1000</f>
        <v>1491000</v>
      </c>
      <c r="AH5" s="668">
        <f>([6]segmenty!$C$34)*1000</f>
        <v>181000</v>
      </c>
      <c r="AI5" s="668">
        <f>([6]segmenty!$C$31)*1000</f>
        <v>38000</v>
      </c>
      <c r="AJ5" s="668">
        <f>[6]segmenty!$C$25*1000</f>
        <v>2569000</v>
      </c>
      <c r="AL5" s="668">
        <f>'[7]segmenty prez'!$C$9*1000</f>
        <v>1212000</v>
      </c>
      <c r="AM5" s="668">
        <f>'[7]segmenty prez'!$C$16*1000</f>
        <v>189000</v>
      </c>
      <c r="AN5" s="668">
        <f>'[7]segmenty prez'!$C$12*1000</f>
        <v>94000</v>
      </c>
      <c r="AO5" s="668">
        <f>'[7]segmenty prez'!$C$25*1000</f>
        <v>2944000</v>
      </c>
      <c r="AQ5" s="668">
        <f>'[7]segmenty 3 m-ce PREZ'!$C$9*1000</f>
        <v>399000</v>
      </c>
      <c r="AR5" s="668">
        <f>'[7]segmenty 3 m-ce PREZ'!$C$16*1000</f>
        <v>66000</v>
      </c>
      <c r="AS5" s="668">
        <f>'[7]segmenty 3 m-ce PREZ'!$C$12*1000</f>
        <v>4000</v>
      </c>
      <c r="AT5" s="668">
        <f t="shared" si="16"/>
        <v>2944000</v>
      </c>
      <c r="AV5" s="668">
        <f>([8]segmenty!$C$9)*1000</f>
        <v>813000</v>
      </c>
      <c r="AW5" s="668">
        <f>([8]segmenty!$C$34)*1000</f>
        <v>123000</v>
      </c>
      <c r="AX5" s="668">
        <f>([8]segmenty!$C$31)*1000</f>
        <v>90000</v>
      </c>
      <c r="AY5" s="668">
        <f>([8]segmenty!$C$25)*1000</f>
        <v>2703000</v>
      </c>
      <c r="BA5" s="668">
        <f>[9]segmenty!$C$9*1000</f>
        <v>2193000</v>
      </c>
      <c r="BB5" s="668">
        <f>[9]segmenty!$C$34*1000</f>
        <v>302000</v>
      </c>
      <c r="BC5" s="668">
        <f>[9]segmenty!$C$31*1000</f>
        <v>161000</v>
      </c>
      <c r="BD5" s="668">
        <f>[9]segmenty!$C$25*1000</f>
        <v>2768000</v>
      </c>
      <c r="BF5" s="668">
        <f t="shared" ref="BF5:BF11" si="27">BA5-BK5</f>
        <v>799000</v>
      </c>
      <c r="BG5" s="668">
        <f t="shared" si="17"/>
        <v>79000</v>
      </c>
      <c r="BH5" s="668">
        <f t="shared" si="17"/>
        <v>165000</v>
      </c>
      <c r="BI5" s="668">
        <f t="shared" si="18"/>
        <v>2768000</v>
      </c>
      <c r="BK5" s="668">
        <f>([10]segmenty!$C$9)*1000</f>
        <v>1394000</v>
      </c>
      <c r="BL5" s="668">
        <f>([10]segmenty!$C$34)*1000</f>
        <v>223000</v>
      </c>
      <c r="BM5" s="668">
        <f>([10]segmenty!$C$31)*1000</f>
        <v>-4000</v>
      </c>
      <c r="BN5" s="668">
        <f>([10]segmenty!$C$25)*1000</f>
        <v>2586000</v>
      </c>
      <c r="BP5" s="668">
        <f>('[6]segmenty 3 m-ce PREZ'!$C$9)*1000</f>
        <v>279000</v>
      </c>
      <c r="BQ5" s="668">
        <f>('[6]segmenty 3 m-ce PREZ'!$C$16)*1000</f>
        <v>-8000</v>
      </c>
      <c r="BR5" s="668">
        <f>('[6]segmenty 3 m-ce PREZ'!$C$12)*1000</f>
        <v>-56000</v>
      </c>
      <c r="BS5" s="668">
        <f t="shared" si="19"/>
        <v>2586000</v>
      </c>
      <c r="BU5" s="668">
        <v>1147000</v>
      </c>
      <c r="BV5" s="668">
        <v>166000</v>
      </c>
      <c r="BW5" s="668">
        <v>-35000</v>
      </c>
      <c r="BX5" s="668">
        <v>2441000</v>
      </c>
      <c r="BZ5" s="668">
        <v>337000</v>
      </c>
      <c r="CA5" s="668">
        <v>31000</v>
      </c>
      <c r="CB5" s="668">
        <v>-138000</v>
      </c>
      <c r="CC5" s="668">
        <f t="shared" si="20"/>
        <v>2441000</v>
      </c>
      <c r="CE5" s="668">
        <v>810000</v>
      </c>
      <c r="CF5" s="668">
        <v>135000</v>
      </c>
      <c r="CG5" s="668">
        <v>103000</v>
      </c>
      <c r="CH5" s="668"/>
      <c r="CJ5" s="668"/>
      <c r="CK5" s="668"/>
      <c r="CL5" s="668"/>
      <c r="CM5" s="668"/>
      <c r="CO5" s="668"/>
      <c r="CP5" s="668"/>
      <c r="CQ5" s="668"/>
      <c r="CR5" s="668"/>
      <c r="CT5" s="668"/>
      <c r="CU5" s="668"/>
      <c r="CV5" s="668"/>
      <c r="CW5" s="668"/>
      <c r="CY5" s="668"/>
      <c r="CZ5" s="668"/>
      <c r="DA5" s="668"/>
      <c r="DB5" s="668"/>
      <c r="DD5" s="668"/>
      <c r="DE5" s="668"/>
      <c r="DF5" s="668"/>
      <c r="DG5" s="668"/>
      <c r="DI5" s="668"/>
      <c r="DJ5" s="668"/>
      <c r="DK5" s="668"/>
      <c r="DL5" s="668"/>
      <c r="DN5" s="668"/>
      <c r="DO5" s="668"/>
      <c r="DP5" s="668"/>
      <c r="DQ5" s="668"/>
      <c r="DS5" s="668"/>
      <c r="DT5" s="668"/>
      <c r="DU5" s="668"/>
      <c r="DV5" s="668"/>
      <c r="DX5" s="668"/>
      <c r="DY5" s="668"/>
      <c r="DZ5" s="668"/>
      <c r="EA5" s="668"/>
      <c r="EC5" s="461"/>
      <c r="ED5" s="461"/>
      <c r="EE5" s="461"/>
      <c r="EF5" s="461"/>
      <c r="EH5" s="461"/>
      <c r="EI5" s="461"/>
      <c r="EJ5" s="461"/>
      <c r="EK5" s="461"/>
      <c r="EM5" s="461"/>
      <c r="EN5" s="461"/>
      <c r="EO5" s="461"/>
      <c r="EP5" s="461"/>
      <c r="ER5" s="461"/>
      <c r="ES5" s="461"/>
      <c r="ET5" s="461"/>
      <c r="EU5" s="461"/>
      <c r="EW5" s="461"/>
      <c r="EX5" s="461"/>
      <c r="EY5" s="461"/>
      <c r="EZ5" s="461"/>
      <c r="FB5" s="461"/>
      <c r="FC5" s="461"/>
      <c r="FD5" s="461"/>
      <c r="FE5" s="461"/>
      <c r="FG5" s="461"/>
      <c r="FH5" s="461"/>
      <c r="FI5" s="461"/>
      <c r="FJ5" s="461"/>
      <c r="FL5" s="461"/>
      <c r="FM5" s="461"/>
      <c r="FN5" s="461"/>
      <c r="FO5" s="461"/>
      <c r="FQ5" s="461"/>
      <c r="FR5" s="461"/>
      <c r="FS5" s="461"/>
      <c r="FT5" s="461"/>
      <c r="FV5" s="461"/>
      <c r="FW5" s="461"/>
      <c r="FX5" s="461"/>
      <c r="FY5" s="461"/>
      <c r="GA5" s="461"/>
      <c r="GB5" s="461"/>
      <c r="GC5" s="461"/>
      <c r="GD5" s="461"/>
      <c r="GF5" s="461"/>
      <c r="GG5" s="461"/>
      <c r="GH5" s="461"/>
      <c r="GI5" s="461"/>
      <c r="GK5" s="461"/>
      <c r="GL5" s="461"/>
      <c r="GM5" s="461"/>
      <c r="GN5" s="461"/>
      <c r="GP5" s="461"/>
      <c r="GQ5" s="461"/>
      <c r="GR5" s="461"/>
      <c r="GS5" s="461"/>
      <c r="GU5" s="461"/>
      <c r="GV5" s="461"/>
      <c r="GW5" s="461"/>
      <c r="GX5" s="461"/>
      <c r="GZ5" s="461"/>
      <c r="HA5" s="461"/>
      <c r="HB5" s="461"/>
      <c r="HC5" s="461"/>
      <c r="HE5" s="461"/>
      <c r="HF5" s="462"/>
      <c r="HG5" s="461"/>
      <c r="HH5" s="461"/>
      <c r="HJ5" s="461"/>
      <c r="HK5" s="462"/>
      <c r="HL5" s="461"/>
      <c r="HM5" s="461"/>
      <c r="HO5" s="461"/>
      <c r="HP5" s="462"/>
      <c r="HQ5" s="461"/>
      <c r="HR5" s="461"/>
      <c r="HS5" s="5"/>
      <c r="HT5" s="339"/>
      <c r="HU5" s="340"/>
      <c r="HV5" s="339"/>
      <c r="HW5" s="339"/>
      <c r="HY5" s="339"/>
      <c r="HZ5" s="340"/>
      <c r="IA5" s="339"/>
      <c r="IB5" s="339"/>
      <c r="ID5" s="339"/>
      <c r="IE5" s="340"/>
      <c r="IF5" s="339"/>
      <c r="IG5" s="339"/>
      <c r="II5" s="339"/>
      <c r="IJ5" s="340"/>
      <c r="IK5" s="339"/>
      <c r="IL5" s="339"/>
      <c r="IO5" s="339"/>
      <c r="IP5" s="340"/>
      <c r="IQ5" s="339"/>
      <c r="IR5" s="339"/>
      <c r="IT5" s="339"/>
      <c r="IU5" s="340"/>
      <c r="IV5" s="339"/>
      <c r="IW5" s="339"/>
      <c r="IY5" s="339"/>
      <c r="IZ5" s="340"/>
      <c r="JA5" s="339"/>
      <c r="JB5" s="339"/>
      <c r="JD5" s="339"/>
      <c r="JE5" s="339"/>
      <c r="JF5" s="339"/>
      <c r="JG5" s="339"/>
      <c r="JI5" s="339"/>
      <c r="JJ5" s="340"/>
      <c r="JK5" s="339"/>
      <c r="JL5" s="339"/>
      <c r="JN5" s="339"/>
      <c r="JO5" s="340"/>
      <c r="JP5" s="339"/>
      <c r="JQ5" s="339"/>
      <c r="JS5" s="339"/>
      <c r="JT5" s="340"/>
      <c r="JU5" s="339"/>
      <c r="JV5" s="339"/>
      <c r="JX5" s="165"/>
      <c r="JY5" s="317"/>
      <c r="JZ5" s="165"/>
      <c r="KA5" s="165"/>
      <c r="KC5" s="165"/>
      <c r="KD5" s="317"/>
      <c r="KE5" s="165"/>
      <c r="KF5" s="165"/>
      <c r="KH5" s="155"/>
      <c r="KI5" s="182"/>
      <c r="KJ5" s="155"/>
      <c r="KK5" s="155"/>
      <c r="KM5" s="155"/>
      <c r="KN5" s="155"/>
      <c r="KO5" s="155"/>
      <c r="KP5" s="155"/>
      <c r="KR5" s="155"/>
      <c r="KS5" s="182"/>
      <c r="KT5" s="155"/>
      <c r="KU5" s="155"/>
      <c r="KV5" s="156"/>
      <c r="KW5" s="155"/>
      <c r="KX5" s="155"/>
      <c r="KY5" s="155"/>
      <c r="KZ5" s="155"/>
      <c r="LA5" s="155"/>
      <c r="LB5" s="155"/>
      <c r="LC5" s="155"/>
      <c r="LD5" s="155"/>
      <c r="LE5" s="155"/>
      <c r="LF5" s="156"/>
      <c r="LG5" s="155"/>
      <c r="LH5" s="155"/>
      <c r="LI5" s="155"/>
      <c r="LJ5" s="155"/>
      <c r="LK5" s="156"/>
      <c r="LL5" s="155"/>
      <c r="LM5" s="155"/>
      <c r="LN5" s="155"/>
      <c r="LO5" s="155"/>
      <c r="LP5" s="156"/>
      <c r="LQ5" s="155"/>
      <c r="LR5" s="155"/>
      <c r="LS5" s="155"/>
      <c r="LT5" s="155"/>
      <c r="LU5" s="156"/>
      <c r="LV5" s="155"/>
      <c r="LW5" s="155"/>
      <c r="LX5" s="155"/>
      <c r="LY5" s="155"/>
      <c r="LZ5" s="156"/>
      <c r="MA5" s="155"/>
      <c r="MB5" s="155"/>
      <c r="MC5" s="155"/>
      <c r="MD5" s="155"/>
      <c r="ME5" s="156"/>
      <c r="MF5" s="155"/>
      <c r="MG5" s="155"/>
      <c r="MH5" s="155"/>
      <c r="MI5" s="155"/>
      <c r="MJ5" s="156"/>
      <c r="MK5" s="155"/>
      <c r="ML5" s="155"/>
      <c r="MM5" s="155"/>
      <c r="MN5" s="155"/>
      <c r="MO5" s="156"/>
      <c r="MP5" s="155"/>
      <c r="MQ5" s="155"/>
      <c r="MR5" s="155"/>
      <c r="MS5" s="155"/>
      <c r="MT5" s="156"/>
      <c r="MU5" s="155"/>
      <c r="MV5" s="155"/>
      <c r="MW5" s="155"/>
      <c r="MX5" s="155"/>
      <c r="MY5" s="156"/>
      <c r="MZ5" s="155"/>
      <c r="NA5" s="155"/>
      <c r="NB5" s="155"/>
      <c r="NC5" s="155"/>
      <c r="ND5" s="156"/>
      <c r="NE5" s="155"/>
      <c r="NF5" s="155"/>
      <c r="NG5" s="155"/>
      <c r="NH5" s="155"/>
      <c r="NI5" s="162"/>
      <c r="NJ5" s="155"/>
      <c r="NK5" s="155"/>
      <c r="NL5" s="155"/>
      <c r="NM5" s="155"/>
      <c r="NN5" s="162"/>
      <c r="NO5" s="155"/>
      <c r="NP5" s="155"/>
      <c r="NQ5" s="155"/>
      <c r="NR5" s="155"/>
      <c r="NS5" s="156"/>
      <c r="NT5" s="155"/>
      <c r="NU5" s="155"/>
      <c r="NV5" s="155"/>
      <c r="NW5" s="155"/>
      <c r="NX5" s="156"/>
      <c r="NY5" s="155"/>
      <c r="NZ5" s="155"/>
      <c r="OA5" s="155"/>
      <c r="OB5" s="155"/>
      <c r="OC5" s="156"/>
      <c r="OD5" s="155"/>
      <c r="OE5" s="155"/>
      <c r="OF5" s="155"/>
      <c r="OG5" s="155"/>
      <c r="OH5" s="156"/>
      <c r="OI5" s="155"/>
      <c r="OJ5" s="155"/>
      <c r="OK5" s="155"/>
      <c r="OL5" s="155"/>
      <c r="OM5" s="156"/>
      <c r="ON5" s="162"/>
      <c r="OO5" s="155"/>
      <c r="OP5" s="155"/>
      <c r="OQ5" s="155"/>
      <c r="OR5" s="179"/>
      <c r="OS5" s="156"/>
      <c r="OT5" s="155"/>
      <c r="OU5" s="155"/>
      <c r="OV5" s="155"/>
      <c r="OW5" s="179"/>
      <c r="OX5" s="156"/>
      <c r="OY5" s="155"/>
      <c r="OZ5" s="155"/>
      <c r="PA5" s="155"/>
      <c r="PB5" s="179"/>
      <c r="PC5" s="156"/>
      <c r="PD5" s="156"/>
      <c r="PE5" s="156"/>
      <c r="PF5" s="156"/>
      <c r="PG5" s="156"/>
      <c r="PH5" s="156"/>
      <c r="PI5" s="156"/>
      <c r="PJ5" s="156"/>
      <c r="PK5" s="156"/>
      <c r="PL5" s="156"/>
      <c r="PM5" s="156"/>
      <c r="PN5" s="156"/>
      <c r="PO5" s="156"/>
      <c r="PP5" s="156"/>
      <c r="PQ5" s="156"/>
      <c r="PR5" s="156"/>
      <c r="PS5" s="156"/>
      <c r="PT5" s="156"/>
      <c r="PU5" s="156"/>
      <c r="PV5" s="156"/>
      <c r="PW5" s="156"/>
      <c r="PX5" s="156"/>
      <c r="PY5" s="156"/>
      <c r="PZ5" s="156"/>
      <c r="QA5" s="156"/>
      <c r="QB5" s="156"/>
      <c r="QC5" s="156"/>
      <c r="QD5" s="156"/>
      <c r="QE5" s="156"/>
      <c r="QF5" s="156"/>
      <c r="QG5" s="156"/>
      <c r="QH5" s="156"/>
      <c r="QI5" s="156"/>
      <c r="QJ5" s="156"/>
      <c r="QK5" s="156"/>
      <c r="QL5" s="156"/>
      <c r="QM5" s="156"/>
      <c r="QN5" s="156"/>
      <c r="QO5" s="156"/>
      <c r="QP5" s="156"/>
      <c r="QQ5" s="156"/>
      <c r="QR5" s="156"/>
      <c r="QS5" s="156"/>
      <c r="QT5" s="156"/>
    </row>
    <row r="6" spans="1:462">
      <c r="A6" s="58" t="s">
        <v>578</v>
      </c>
      <c r="C6" s="757">
        <f>'[3]segmenty prez'!$C$9*1000</f>
        <v>390000</v>
      </c>
      <c r="D6" s="757">
        <f>'[3]segmenty prez'!$C$19*1000</f>
        <v>245000</v>
      </c>
      <c r="E6" s="757">
        <f>'[3]segmenty prez'!$C$15*1000</f>
        <v>128000</v>
      </c>
      <c r="F6" s="757">
        <f>'[3]segmenty prez'!$C$28*1000</f>
        <v>6790000</v>
      </c>
      <c r="H6" s="757">
        <f>'[3]segmenty 3 m-ce PREZ'!$C$9*1000</f>
        <v>188000</v>
      </c>
      <c r="I6" s="757">
        <f>'[3]segmenty 3 m-ce PREZ'!$C$19*1000</f>
        <v>114000</v>
      </c>
      <c r="J6" s="757">
        <f>'[3]segmenty 3 m-ce PREZ'!$C$15*1000</f>
        <v>54000</v>
      </c>
      <c r="K6" s="757">
        <f t="shared" si="13"/>
        <v>6790000</v>
      </c>
      <c r="M6" s="668">
        <f>('[4]segmenty prez'!$C$9)*1000</f>
        <v>202000</v>
      </c>
      <c r="N6" s="668">
        <f>('[4]segmenty prez'!$C$19)*1000</f>
        <v>131000</v>
      </c>
      <c r="O6" s="668">
        <f>('[4]segmenty prez'!$C$15)*1000</f>
        <v>74000</v>
      </c>
      <c r="P6" s="668">
        <f>('[4]segmenty prez'!$C$28)*1000</f>
        <v>6712000</v>
      </c>
      <c r="R6" s="668">
        <f>[5]segmenty!$D$9*1000</f>
        <v>939000</v>
      </c>
      <c r="S6" s="668">
        <f>[5]segmenty!$D$36*1000</f>
        <v>572000</v>
      </c>
      <c r="T6" s="668">
        <f>[5]segmenty!$D$33*1000</f>
        <v>368000</v>
      </c>
      <c r="U6" s="668">
        <f>[5]segmenty!$D$27*1000</f>
        <v>6566000</v>
      </c>
      <c r="W6" s="668">
        <f t="shared" si="14"/>
        <v>255000</v>
      </c>
      <c r="X6" s="668">
        <f t="shared" si="14"/>
        <v>153000</v>
      </c>
      <c r="Y6" s="668">
        <f t="shared" si="14"/>
        <v>125000</v>
      </c>
      <c r="Z6" s="668">
        <f t="shared" si="15"/>
        <v>6566000</v>
      </c>
      <c r="AB6" s="668">
        <f>'[6]segmenty prez'!$D$9*1000</f>
        <v>684000</v>
      </c>
      <c r="AC6" s="668">
        <f>'[6]segmenty prez'!$D$16*1000</f>
        <v>419000</v>
      </c>
      <c r="AD6" s="668">
        <f>'[6]segmenty prez'!$D$12*1000</f>
        <v>243000</v>
      </c>
      <c r="AE6" s="668">
        <f>'[6]segmenty prez'!$D$25*1000</f>
        <v>6123000</v>
      </c>
      <c r="AG6" s="668">
        <f>([6]segmenty!$D$9)*1000</f>
        <v>684000</v>
      </c>
      <c r="AH6" s="668">
        <f>([6]segmenty!$D$34)*1000</f>
        <v>419000</v>
      </c>
      <c r="AI6" s="668">
        <f>([6]segmenty!$D$31)*1000</f>
        <v>243000</v>
      </c>
      <c r="AJ6" s="668">
        <f>[6]segmenty!$D$25*1000</f>
        <v>6123000</v>
      </c>
      <c r="AL6" s="668">
        <f>'[7]segmenty prez'!$D$9*1000</f>
        <v>506000</v>
      </c>
      <c r="AM6" s="668">
        <f>'[7]segmenty prez'!$D$16*1000</f>
        <v>318000</v>
      </c>
      <c r="AN6" s="668">
        <f>'[7]segmenty prez'!$D$12*1000</f>
        <v>201000</v>
      </c>
      <c r="AO6" s="668">
        <f>'[7]segmenty prez'!$D$25*1000</f>
        <v>5946000</v>
      </c>
      <c r="AQ6" s="668">
        <f>'[7]segmenty 3 m-ce PREZ'!$D$9*1000</f>
        <v>211000</v>
      </c>
      <c r="AR6" s="668">
        <f>'[7]segmenty 3 m-ce PREZ'!$D$16*1000</f>
        <v>138000</v>
      </c>
      <c r="AS6" s="668">
        <f>'[7]segmenty 3 m-ce PREZ'!$D$12*1000</f>
        <v>79000</v>
      </c>
      <c r="AT6" s="668">
        <f t="shared" si="16"/>
        <v>5946000</v>
      </c>
      <c r="AV6" s="668">
        <f>([8]segmenty!$D$9)*1000</f>
        <v>295000</v>
      </c>
      <c r="AW6" s="668">
        <f>([8]segmenty!$D$34)*1000</f>
        <v>180000</v>
      </c>
      <c r="AX6" s="668">
        <f>([8]segmenty!$D$31)*1000</f>
        <v>122000</v>
      </c>
      <c r="AY6" s="668">
        <f>([8]segmenty!$D$25)*1000</f>
        <v>5692000</v>
      </c>
      <c r="BA6" s="668">
        <f>[9]segmenty!$D$9*1000</f>
        <v>987000</v>
      </c>
      <c r="BB6" s="668">
        <f>[9]segmenty!$D$34*1000</f>
        <v>684000</v>
      </c>
      <c r="BC6" s="668">
        <f>[9]segmenty!$D$31*1000</f>
        <v>497000</v>
      </c>
      <c r="BD6" s="668">
        <f>[9]segmenty!$D$25*1000</f>
        <v>5192000</v>
      </c>
      <c r="BF6" s="668">
        <f t="shared" si="27"/>
        <v>299000</v>
      </c>
      <c r="BG6" s="668">
        <f t="shared" si="17"/>
        <v>190000</v>
      </c>
      <c r="BH6" s="668">
        <f t="shared" si="17"/>
        <v>146000</v>
      </c>
      <c r="BI6" s="668">
        <f t="shared" si="18"/>
        <v>5192000</v>
      </c>
      <c r="BK6" s="668">
        <f>([10]segmenty!$D$9)*1000</f>
        <v>688000</v>
      </c>
      <c r="BL6" s="668">
        <f>([10]segmenty!$D$34)*1000</f>
        <v>494000</v>
      </c>
      <c r="BM6" s="668">
        <f>([10]segmenty!$D$31)*1000</f>
        <v>351000</v>
      </c>
      <c r="BN6" s="668">
        <f>([10]segmenty!$D$25)*1000</f>
        <v>5079000</v>
      </c>
      <c r="BP6" s="668">
        <f>('[6]segmenty 3 m-ce PREZ'!$D$9)*1000</f>
        <v>178000</v>
      </c>
      <c r="BQ6" s="668">
        <f>('[6]segmenty 3 m-ce PREZ'!$D$16)*1000</f>
        <v>101000</v>
      </c>
      <c r="BR6" s="668">
        <f>('[6]segmenty 3 m-ce PREZ'!$D$12)*1000</f>
        <v>42000</v>
      </c>
      <c r="BS6" s="668">
        <f t="shared" si="19"/>
        <v>5079000</v>
      </c>
      <c r="BU6" s="668">
        <v>512000</v>
      </c>
      <c r="BV6" s="668">
        <v>369000</v>
      </c>
      <c r="BW6" s="668">
        <v>274000</v>
      </c>
      <c r="BX6" s="668">
        <v>4545000</v>
      </c>
      <c r="BZ6" s="668">
        <v>220000</v>
      </c>
      <c r="CA6" s="668">
        <v>140000</v>
      </c>
      <c r="CB6" s="668">
        <v>92000</v>
      </c>
      <c r="CC6" s="668">
        <f t="shared" si="20"/>
        <v>4545000</v>
      </c>
      <c r="CE6" s="668">
        <f>[11]segmenty!$C$9*1000</f>
        <v>292000</v>
      </c>
      <c r="CF6" s="668">
        <f>[11]segmenty!$C$34*1000</f>
        <v>229000</v>
      </c>
      <c r="CG6" s="668">
        <f>[11]segmenty!$C$31*1000</f>
        <v>182000</v>
      </c>
      <c r="CH6" s="668">
        <f>[11]segmenty!$C$25*1000</f>
        <v>4288000</v>
      </c>
      <c r="CJ6" s="668">
        <f>([12]segmenty!$C$9)*1000</f>
        <v>750000</v>
      </c>
      <c r="CK6" s="668">
        <f>([12]segmenty!$C$34)*1000</f>
        <v>431000</v>
      </c>
      <c r="CL6" s="668">
        <f>([12]segmenty!$C$31)*1000</f>
        <v>261000</v>
      </c>
      <c r="CM6" s="668">
        <f>([12]segmenty!$C$25)*1000</f>
        <v>3971000</v>
      </c>
      <c r="CO6" s="668">
        <f t="shared" si="21"/>
        <v>189000</v>
      </c>
      <c r="CP6" s="668">
        <f t="shared" si="21"/>
        <v>110000</v>
      </c>
      <c r="CQ6" s="668">
        <f t="shared" si="21"/>
        <v>82000</v>
      </c>
      <c r="CR6" s="668">
        <f t="shared" si="22"/>
        <v>3971000</v>
      </c>
      <c r="CT6" s="668">
        <f>([13]segmenty!$C$9)*1000</f>
        <v>561000</v>
      </c>
      <c r="CU6" s="668">
        <f>([13]segmenty!$C$34)*1000</f>
        <v>321000</v>
      </c>
      <c r="CV6" s="668">
        <f>([13]segmenty!$C$31)*1000</f>
        <v>179000</v>
      </c>
      <c r="CW6" s="668">
        <f>([13]segmenty!$C$25)*1000</f>
        <v>3527000</v>
      </c>
      <c r="CY6" s="668">
        <f>('[13]segmenty 3 m-ce PREZ'!$C$9)*1000</f>
        <v>121000</v>
      </c>
      <c r="CZ6" s="668">
        <f>('[13]segmenty 3 m-ce PREZ'!$C$16)*1000</f>
        <v>45000</v>
      </c>
      <c r="DA6" s="668">
        <f>('[13]segmenty 3 m-ce PREZ'!$C$12)*1000</f>
        <v>-1000</v>
      </c>
      <c r="DB6" s="668">
        <f t="shared" si="23"/>
        <v>3527000</v>
      </c>
      <c r="DD6" s="668">
        <f>[14]segmenty!$C$9*1000</f>
        <v>440000</v>
      </c>
      <c r="DE6" s="668">
        <f>[14]segmenty!$C$34*1000</f>
        <v>276000</v>
      </c>
      <c r="DF6" s="668">
        <f>[14]segmenty!$C$31*1000</f>
        <v>180000</v>
      </c>
      <c r="DG6" s="668">
        <f>[14]segmenty!$C$25*1000</f>
        <v>3271000</v>
      </c>
      <c r="DI6" s="668">
        <f>('[14]segmenty 3 m-ce'!$C$69)*1000</f>
        <v>171000</v>
      </c>
      <c r="DJ6" s="668">
        <f>('[14]segmenty 3 m-ce'!$C$84)*1000</f>
        <v>90000</v>
      </c>
      <c r="DK6" s="668">
        <f>('[14]segmenty 3 m-ce'!$C$81)*1000</f>
        <v>42000</v>
      </c>
      <c r="DL6" s="668">
        <f t="shared" si="24"/>
        <v>3271000</v>
      </c>
      <c r="DN6" s="668">
        <f>[15]segmenty!$C$9*1000</f>
        <v>269000</v>
      </c>
      <c r="DO6" s="668">
        <f>[15]segmenty!$C$34*1000</f>
        <v>186000</v>
      </c>
      <c r="DP6" s="668">
        <f>[15]segmenty!$C$31*1000</f>
        <v>138000</v>
      </c>
      <c r="DQ6" s="668">
        <f>[15]segmenty!$C$25*1000</f>
        <v>2960000</v>
      </c>
      <c r="DS6" s="668">
        <f t="shared" si="25"/>
        <v>163000</v>
      </c>
      <c r="DT6" s="668">
        <f t="shared" si="25"/>
        <v>94000</v>
      </c>
      <c r="DU6" s="668">
        <f t="shared" si="25"/>
        <v>20000</v>
      </c>
      <c r="DV6" s="668">
        <f t="shared" si="26"/>
        <v>2910000</v>
      </c>
      <c r="DX6" s="668">
        <v>909000</v>
      </c>
      <c r="DY6" s="668">
        <v>476000</v>
      </c>
      <c r="DZ6" s="668">
        <v>292000</v>
      </c>
      <c r="EA6" s="668">
        <v>2910000</v>
      </c>
      <c r="EC6" s="461">
        <v>178000</v>
      </c>
      <c r="ED6" s="461">
        <v>86000</v>
      </c>
      <c r="EE6" s="461">
        <v>50000</v>
      </c>
      <c r="EF6" s="461">
        <f t="shared" si="0"/>
        <v>2585000</v>
      </c>
      <c r="EH6" s="461">
        <v>746000</v>
      </c>
      <c r="EI6" s="461">
        <v>382000</v>
      </c>
      <c r="EJ6" s="461">
        <v>272000</v>
      </c>
      <c r="EK6" s="461">
        <v>2585000</v>
      </c>
      <c r="EM6" s="461">
        <f t="shared" si="1"/>
        <v>254000</v>
      </c>
      <c r="EN6" s="461">
        <f t="shared" si="1"/>
        <v>110000</v>
      </c>
      <c r="EO6" s="461">
        <f t="shared" si="1"/>
        <v>68000</v>
      </c>
      <c r="EP6" s="461">
        <v>2590000</v>
      </c>
      <c r="ER6" s="461">
        <v>568000</v>
      </c>
      <c r="ES6" s="461">
        <v>296000</v>
      </c>
      <c r="ET6" s="461">
        <v>222000</v>
      </c>
      <c r="EU6" s="461">
        <v>2590000</v>
      </c>
      <c r="EW6" s="461">
        <v>314000</v>
      </c>
      <c r="EX6" s="461">
        <v>186000</v>
      </c>
      <c r="EY6" s="461">
        <v>154000</v>
      </c>
      <c r="EZ6" s="461">
        <v>2476000</v>
      </c>
      <c r="FB6" s="461">
        <f t="shared" si="2"/>
        <v>216892</v>
      </c>
      <c r="FC6" s="461">
        <f t="shared" si="2"/>
        <v>125893</v>
      </c>
      <c r="FD6" s="461">
        <f t="shared" si="2"/>
        <v>90451</v>
      </c>
      <c r="FE6" s="461">
        <f t="shared" si="3"/>
        <v>2470000</v>
      </c>
      <c r="FG6" s="461">
        <v>661000</v>
      </c>
      <c r="FH6" s="461">
        <v>376000</v>
      </c>
      <c r="FI6" s="461">
        <v>224000</v>
      </c>
      <c r="FJ6" s="461">
        <v>2470000</v>
      </c>
      <c r="FL6" s="461">
        <f t="shared" si="4"/>
        <v>135733</v>
      </c>
      <c r="FM6" s="461">
        <f t="shared" si="4"/>
        <v>83090</v>
      </c>
      <c r="FN6" s="461">
        <f t="shared" si="4"/>
        <v>44592</v>
      </c>
      <c r="FO6" s="461">
        <f t="shared" si="5"/>
        <v>2397206</v>
      </c>
      <c r="FQ6" s="461">
        <v>444108</v>
      </c>
      <c r="FR6" s="461">
        <v>250107</v>
      </c>
      <c r="FS6" s="461">
        <v>133549</v>
      </c>
      <c r="FT6" s="461">
        <v>2397206</v>
      </c>
      <c r="FV6" s="461">
        <f t="shared" si="6"/>
        <v>152247</v>
      </c>
      <c r="FW6" s="461">
        <f t="shared" si="6"/>
        <v>83297</v>
      </c>
      <c r="FX6" s="461">
        <f t="shared" si="6"/>
        <v>44444</v>
      </c>
      <c r="FY6" s="461">
        <f t="shared" si="7"/>
        <v>2380016</v>
      </c>
      <c r="GA6" s="461">
        <v>308375</v>
      </c>
      <c r="GB6" s="461">
        <v>167017</v>
      </c>
      <c r="GC6" s="461">
        <v>88957</v>
      </c>
      <c r="GD6" s="461">
        <v>2380016</v>
      </c>
      <c r="GF6" s="461">
        <v>156128</v>
      </c>
      <c r="GG6" s="461">
        <v>83720</v>
      </c>
      <c r="GH6" s="461">
        <v>44513</v>
      </c>
      <c r="GI6" s="461">
        <v>2404403</v>
      </c>
      <c r="GK6" s="461">
        <f>GP6-GZ6</f>
        <v>157558</v>
      </c>
      <c r="GL6" s="461">
        <f>GQ6-HA6</f>
        <v>79490</v>
      </c>
      <c r="GM6" s="461">
        <f>GR6-HB6</f>
        <v>41326</v>
      </c>
      <c r="GN6" s="461">
        <f t="shared" si="9"/>
        <v>2438924</v>
      </c>
      <c r="GP6" s="461">
        <v>615558</v>
      </c>
      <c r="GQ6" s="461">
        <v>296852</v>
      </c>
      <c r="GR6" s="461">
        <v>145801</v>
      </c>
      <c r="GS6" s="461">
        <v>2438924</v>
      </c>
      <c r="GU6" s="461">
        <v>108978</v>
      </c>
      <c r="GV6" s="461">
        <v>53797</v>
      </c>
      <c r="GW6" s="461">
        <v>16392</v>
      </c>
      <c r="GX6" s="461">
        <f t="shared" si="10"/>
        <v>2359573</v>
      </c>
      <c r="GZ6" s="461">
        <v>458000</v>
      </c>
      <c r="HA6" s="461">
        <v>217362</v>
      </c>
      <c r="HB6" s="461">
        <v>104475</v>
      </c>
      <c r="HC6" s="461">
        <v>2359573</v>
      </c>
      <c r="HE6" s="461">
        <f t="shared" si="11"/>
        <v>149855</v>
      </c>
      <c r="HF6" s="462">
        <f t="shared" si="11"/>
        <v>42495</v>
      </c>
      <c r="HG6" s="461">
        <f t="shared" si="11"/>
        <v>4801</v>
      </c>
      <c r="HH6" s="461">
        <v>2403664</v>
      </c>
      <c r="HJ6" s="461">
        <v>349022</v>
      </c>
      <c r="HK6" s="462">
        <v>163565</v>
      </c>
      <c r="HL6" s="461">
        <v>88083</v>
      </c>
      <c r="HM6" s="461">
        <v>2403664</v>
      </c>
      <c r="HO6" s="461">
        <v>199167</v>
      </c>
      <c r="HP6" s="462">
        <v>121070</v>
      </c>
      <c r="HQ6" s="461">
        <v>83282</v>
      </c>
      <c r="HR6" s="461">
        <v>2460727</v>
      </c>
      <c r="HS6" s="5"/>
      <c r="HT6" s="339"/>
      <c r="HU6" s="340"/>
      <c r="HV6" s="339"/>
      <c r="HW6" s="339"/>
      <c r="HY6" s="339"/>
      <c r="HZ6" s="340"/>
      <c r="IA6" s="339"/>
      <c r="IB6" s="339"/>
      <c r="ID6" s="339"/>
      <c r="IE6" s="340"/>
      <c r="IF6" s="339"/>
      <c r="IG6" s="339"/>
      <c r="II6" s="339"/>
      <c r="IJ6" s="340"/>
      <c r="IK6" s="339"/>
      <c r="IL6" s="339"/>
      <c r="IO6" s="339"/>
      <c r="IP6" s="340"/>
      <c r="IQ6" s="339"/>
      <c r="IR6" s="339"/>
      <c r="IT6" s="339"/>
      <c r="IU6" s="340"/>
      <c r="IV6" s="339"/>
      <c r="IW6" s="339"/>
      <c r="IY6" s="339"/>
      <c r="IZ6" s="340"/>
      <c r="JA6" s="339"/>
      <c r="JB6" s="339"/>
      <c r="JD6" s="339"/>
      <c r="JE6" s="339"/>
      <c r="JF6" s="339"/>
      <c r="JG6" s="339"/>
      <c r="JI6" s="339"/>
      <c r="JJ6" s="340"/>
      <c r="JK6" s="339"/>
      <c r="JL6" s="339"/>
      <c r="JN6" s="339"/>
      <c r="JO6" s="340"/>
      <c r="JP6" s="339"/>
      <c r="JQ6" s="339"/>
      <c r="JS6" s="339"/>
      <c r="JT6" s="340"/>
      <c r="JU6" s="339"/>
      <c r="JV6" s="339"/>
      <c r="JX6" s="165"/>
      <c r="JY6" s="317"/>
      <c r="JZ6" s="165"/>
      <c r="KA6" s="165"/>
      <c r="KC6" s="165"/>
      <c r="KD6" s="317"/>
      <c r="KE6" s="165"/>
      <c r="KF6" s="165"/>
      <c r="KH6" s="155"/>
      <c r="KI6" s="182"/>
      <c r="KJ6" s="155"/>
      <c r="KK6" s="155"/>
      <c r="KM6" s="155"/>
      <c r="KN6" s="155"/>
      <c r="KO6" s="155"/>
      <c r="KP6" s="155"/>
      <c r="KR6" s="155"/>
      <c r="KS6" s="182"/>
      <c r="KT6" s="155"/>
      <c r="KU6" s="155"/>
      <c r="KV6" s="156"/>
      <c r="KW6" s="155"/>
      <c r="KX6" s="155"/>
      <c r="KY6" s="155"/>
      <c r="KZ6" s="155"/>
      <c r="LA6" s="155"/>
      <c r="LB6" s="155"/>
      <c r="LC6" s="155"/>
      <c r="LD6" s="155"/>
      <c r="LE6" s="155"/>
      <c r="LF6" s="156"/>
      <c r="LG6" s="155"/>
      <c r="LH6" s="155"/>
      <c r="LI6" s="155"/>
      <c r="LJ6" s="155"/>
      <c r="LK6" s="156"/>
      <c r="LL6" s="155"/>
      <c r="LM6" s="155"/>
      <c r="LN6" s="155"/>
      <c r="LO6" s="155"/>
      <c r="LP6" s="156"/>
      <c r="LQ6" s="155"/>
      <c r="LR6" s="155"/>
      <c r="LS6" s="155"/>
      <c r="LT6" s="155"/>
      <c r="LU6" s="156"/>
      <c r="LV6" s="155"/>
      <c r="LW6" s="155"/>
      <c r="LX6" s="155"/>
      <c r="LY6" s="155"/>
      <c r="LZ6" s="156"/>
      <c r="MA6" s="155"/>
      <c r="MB6" s="155"/>
      <c r="MC6" s="155"/>
      <c r="MD6" s="155"/>
      <c r="ME6" s="156"/>
      <c r="MF6" s="155"/>
      <c r="MG6" s="155"/>
      <c r="MH6" s="155"/>
      <c r="MI6" s="155"/>
      <c r="MJ6" s="156"/>
      <c r="MK6" s="155"/>
      <c r="ML6" s="155"/>
      <c r="MM6" s="155"/>
      <c r="MN6" s="155"/>
      <c r="MO6" s="156"/>
      <c r="MP6" s="155"/>
      <c r="MQ6" s="155"/>
      <c r="MR6" s="155"/>
      <c r="MS6" s="155"/>
      <c r="MT6" s="156"/>
      <c r="MU6" s="155"/>
      <c r="MV6" s="155"/>
      <c r="MW6" s="155"/>
      <c r="MX6" s="155"/>
      <c r="MY6" s="156"/>
      <c r="MZ6" s="155"/>
      <c r="NA6" s="155"/>
      <c r="NB6" s="155"/>
      <c r="NC6" s="155"/>
      <c r="ND6" s="156"/>
      <c r="NE6" s="155"/>
      <c r="NF6" s="155"/>
      <c r="NG6" s="155"/>
      <c r="NH6" s="155"/>
      <c r="NI6" s="162"/>
      <c r="NJ6" s="155"/>
      <c r="NK6" s="155"/>
      <c r="NL6" s="155"/>
      <c r="NM6" s="155"/>
      <c r="NN6" s="162"/>
      <c r="NO6" s="155"/>
      <c r="NP6" s="155"/>
      <c r="NQ6" s="155"/>
      <c r="NR6" s="155"/>
      <c r="NS6" s="156"/>
      <c r="NT6" s="155"/>
      <c r="NU6" s="155"/>
      <c r="NV6" s="155"/>
      <c r="NW6" s="155"/>
      <c r="NX6" s="156"/>
      <c r="NY6" s="155"/>
      <c r="NZ6" s="155"/>
      <c r="OA6" s="155"/>
      <c r="OB6" s="155"/>
      <c r="OC6" s="156"/>
      <c r="OD6" s="155"/>
      <c r="OE6" s="155"/>
      <c r="OF6" s="155"/>
      <c r="OG6" s="155"/>
      <c r="OH6" s="156"/>
      <c r="OI6" s="155"/>
      <c r="OJ6" s="155"/>
      <c r="OK6" s="155"/>
      <c r="OL6" s="155"/>
      <c r="OM6" s="156"/>
      <c r="ON6" s="162"/>
      <c r="OO6" s="155"/>
      <c r="OP6" s="155"/>
      <c r="OQ6" s="155"/>
      <c r="OR6" s="179"/>
      <c r="OS6" s="156"/>
      <c r="OT6" s="155"/>
      <c r="OU6" s="155"/>
      <c r="OV6" s="155"/>
      <c r="OW6" s="179"/>
      <c r="OX6" s="156"/>
      <c r="OY6" s="155"/>
      <c r="OZ6" s="155"/>
      <c r="PA6" s="155"/>
      <c r="PB6" s="179"/>
      <c r="PC6" s="156"/>
      <c r="PD6" s="156"/>
      <c r="PE6" s="156"/>
      <c r="PF6" s="156"/>
      <c r="PG6" s="156"/>
      <c r="PH6" s="156"/>
      <c r="PI6" s="156"/>
      <c r="PJ6" s="156"/>
      <c r="PK6" s="156"/>
      <c r="PL6" s="156"/>
      <c r="PM6" s="156"/>
      <c r="PN6" s="156"/>
      <c r="PO6" s="156"/>
      <c r="PP6" s="156"/>
      <c r="PQ6" s="156"/>
      <c r="PR6" s="156"/>
      <c r="PS6" s="156"/>
      <c r="PT6" s="156"/>
      <c r="PU6" s="156"/>
      <c r="PV6" s="156"/>
      <c r="PW6" s="156"/>
      <c r="PX6" s="156"/>
      <c r="PY6" s="156"/>
      <c r="PZ6" s="156"/>
      <c r="QA6" s="156"/>
      <c r="QB6" s="156"/>
      <c r="QC6" s="156"/>
      <c r="QD6" s="156"/>
      <c r="QE6" s="156"/>
      <c r="QF6" s="156"/>
      <c r="QG6" s="156"/>
      <c r="QH6" s="156"/>
      <c r="QI6" s="156"/>
      <c r="QJ6" s="156"/>
      <c r="QK6" s="156"/>
      <c r="QL6" s="156"/>
      <c r="QM6" s="156"/>
      <c r="QN6" s="156"/>
      <c r="QO6" s="156"/>
      <c r="QP6" s="156"/>
      <c r="QQ6" s="156"/>
      <c r="QR6" s="156"/>
      <c r="QS6" s="156"/>
      <c r="QT6" s="156"/>
    </row>
    <row r="7" spans="1:462">
      <c r="A7" s="58" t="s">
        <v>76</v>
      </c>
      <c r="C7" s="757">
        <f>'[3]segmenty prez'!$B$9*1000</f>
        <v>6191000</v>
      </c>
      <c r="D7" s="757">
        <f>'[3]segmenty prez'!$B$19*1000</f>
        <v>2361000</v>
      </c>
      <c r="E7" s="757">
        <f>'[3]segmenty prez'!$B$15*1000</f>
        <v>1564000</v>
      </c>
      <c r="F7" s="757">
        <f>'[3]segmenty prez'!$B$28*1000</f>
        <v>29602000</v>
      </c>
      <c r="H7" s="757">
        <f>'[3]segmenty 3 m-ce PREZ'!$B$9*1000</f>
        <v>2947000</v>
      </c>
      <c r="I7" s="757">
        <f>'[3]segmenty 3 m-ce PREZ'!$B$19*1000</f>
        <v>1177000</v>
      </c>
      <c r="J7" s="757">
        <f>'[3]segmenty 3 m-ce PREZ'!$B$15*1000</f>
        <v>777000</v>
      </c>
      <c r="K7" s="757">
        <f t="shared" si="13"/>
        <v>29602000</v>
      </c>
      <c r="M7" s="668">
        <f>('[4]segmenty prez'!$B$9)*1000</f>
        <v>3244000</v>
      </c>
      <c r="N7" s="668">
        <f>('[4]segmenty prez'!$B$19)*1000</f>
        <v>1184000</v>
      </c>
      <c r="O7" s="668">
        <f>('[4]segmenty prez'!$B$15)*1000</f>
        <v>787000</v>
      </c>
      <c r="P7" s="668">
        <f>('[4]segmenty prez'!$B$28)*1000</f>
        <v>29087000</v>
      </c>
      <c r="R7" s="668">
        <f>[5]segmenty!$E$9*1000</f>
        <v>12360000</v>
      </c>
      <c r="S7" s="668">
        <f>[5]segmenty!$E$36*1000</f>
        <v>4788000</v>
      </c>
      <c r="T7" s="668">
        <f>[5]segmenty!$E$33*1000</f>
        <v>3274000</v>
      </c>
      <c r="U7" s="668">
        <f>[5]segmenty!$E$27*1000</f>
        <v>28512000</v>
      </c>
      <c r="W7" s="668">
        <f t="shared" si="14"/>
        <v>3033000</v>
      </c>
      <c r="X7" s="668">
        <f t="shared" si="14"/>
        <v>967000</v>
      </c>
      <c r="Y7" s="668">
        <f t="shared" si="14"/>
        <v>575000</v>
      </c>
      <c r="Z7" s="668">
        <f t="shared" si="15"/>
        <v>28512000</v>
      </c>
      <c r="AB7" s="668">
        <f>'[6]segmenty prez'!$E$9*1000</f>
        <v>9327000</v>
      </c>
      <c r="AC7" s="668">
        <f>'[6]segmenty prez'!$E$16*1000</f>
        <v>3821000</v>
      </c>
      <c r="AD7" s="668">
        <f>'[6]segmenty prez'!$E$12*1000</f>
        <v>2699000</v>
      </c>
      <c r="AE7" s="668">
        <f>'[6]segmenty prez'!$E$25*1000</f>
        <v>27589000</v>
      </c>
      <c r="AG7" s="668">
        <f>([6]segmenty!$E$9)*1000</f>
        <v>9327000</v>
      </c>
      <c r="AH7" s="668">
        <f>([6]segmenty!$E$34)*1000</f>
        <v>3821000</v>
      </c>
      <c r="AI7" s="668">
        <f>([6]segmenty!$E$31)*1000</f>
        <v>2699000</v>
      </c>
      <c r="AJ7" s="668">
        <f>[6]segmenty!$E$25*1000</f>
        <v>27589000</v>
      </c>
      <c r="AL7" s="668">
        <f>'[7]segmenty prez'!$E$9*1000</f>
        <v>6225000</v>
      </c>
      <c r="AM7" s="668">
        <f>'[7]segmenty prez'!$E$16*1000</f>
        <v>2497000</v>
      </c>
      <c r="AN7" s="668">
        <f>'[7]segmenty prez'!$E$12*1000</f>
        <v>1753000</v>
      </c>
      <c r="AO7" s="668">
        <f>'[7]segmenty prez'!$E$25*1000</f>
        <v>26950000</v>
      </c>
      <c r="AQ7" s="668">
        <f>'[7]segmenty 3 m-ce PREZ'!$E$9*1000</f>
        <v>3012000</v>
      </c>
      <c r="AR7" s="668">
        <f>'[7]segmenty 3 m-ce PREZ'!$E$16*1000</f>
        <v>1271000</v>
      </c>
      <c r="AS7" s="668">
        <f>'[7]segmenty 3 m-ce PREZ'!$E$12*1000</f>
        <v>894000</v>
      </c>
      <c r="AT7" s="668">
        <f t="shared" si="16"/>
        <v>26950000</v>
      </c>
      <c r="AV7" s="668">
        <f>([8]segmenty!$E$9)*1000</f>
        <v>3213000</v>
      </c>
      <c r="AW7" s="668">
        <f>([8]segmenty!$E$34)*1000</f>
        <v>1226000</v>
      </c>
      <c r="AX7" s="668">
        <f>([8]segmenty!$E$31)*1000</f>
        <v>859000</v>
      </c>
      <c r="AY7" s="668">
        <f>([8]segmenty!$E$25)*1000</f>
        <v>26513000</v>
      </c>
      <c r="BA7" s="668">
        <f>[9]segmenty!$E$9*1000</f>
        <v>11434000</v>
      </c>
      <c r="BB7" s="668">
        <f>[9]segmenty!$E$34*1000</f>
        <v>3963000</v>
      </c>
      <c r="BC7" s="668">
        <f>[9]segmenty!$E$31*1000</f>
        <v>2547000</v>
      </c>
      <c r="BD7" s="668">
        <f>[9]segmenty!$E$25*1000</f>
        <v>25961000</v>
      </c>
      <c r="BF7" s="668">
        <f t="shared" si="27"/>
        <v>2846000</v>
      </c>
      <c r="BG7" s="668">
        <f t="shared" si="17"/>
        <v>864000</v>
      </c>
      <c r="BH7" s="668">
        <f t="shared" si="17"/>
        <v>495000</v>
      </c>
      <c r="BI7" s="668">
        <f t="shared" si="18"/>
        <v>25961000</v>
      </c>
      <c r="BK7" s="668">
        <f>([10]segmenty!$E$9)*1000+461000</f>
        <v>8588000</v>
      </c>
      <c r="BL7" s="668">
        <f>([10]segmenty!$E$34)*1000+461000</f>
        <v>3099000</v>
      </c>
      <c r="BM7" s="668">
        <f>([10]segmenty!$E$31)*1000+461000</f>
        <v>2052000</v>
      </c>
      <c r="BN7" s="668">
        <f>([10]segmenty!$E$25)*1000</f>
        <v>25309000</v>
      </c>
      <c r="BP7" s="668">
        <f>('[6]segmenty 3 m-ce PREZ'!$E$9)*1000</f>
        <v>3102000</v>
      </c>
      <c r="BQ7" s="668">
        <f>('[6]segmenty 3 m-ce PREZ'!$E$16)*1000</f>
        <v>1324000</v>
      </c>
      <c r="BR7" s="668">
        <f>('[6]segmenty 3 m-ce PREZ'!$E$12)*1000</f>
        <v>946000</v>
      </c>
      <c r="BS7" s="668">
        <f t="shared" si="19"/>
        <v>25309000</v>
      </c>
      <c r="BU7" s="668">
        <f>5251000+462000</f>
        <v>5713000</v>
      </c>
      <c r="BV7" s="668">
        <f>1616000+462000</f>
        <v>2078000</v>
      </c>
      <c r="BW7" s="668">
        <f>926000+462000</f>
        <v>1388000</v>
      </c>
      <c r="BX7" s="668">
        <v>25011000</v>
      </c>
      <c r="BZ7" s="668">
        <f>2806000+69000</f>
        <v>2875000</v>
      </c>
      <c r="CA7" s="668">
        <f>994000+69000</f>
        <v>1063000</v>
      </c>
      <c r="CB7" s="668">
        <f>645000+69000</f>
        <v>714000</v>
      </c>
      <c r="CC7" s="668">
        <f t="shared" si="20"/>
        <v>25011000</v>
      </c>
      <c r="CE7" s="668">
        <f>[11]segmenty!$D$9*1000+392000</f>
        <v>2838000</v>
      </c>
      <c r="CF7" s="668">
        <f>[11]segmenty!$D$34*1000+393000</f>
        <v>1015000</v>
      </c>
      <c r="CG7" s="668">
        <f>[11]segmenty!$D$31*1000+393000+1000</f>
        <v>674000</v>
      </c>
      <c r="CH7" s="668">
        <f>[11]segmenty!$D$25*1000</f>
        <v>24794000</v>
      </c>
      <c r="CJ7" s="668">
        <f>([12]segmenty!$D$9)*1000</f>
        <v>11734000</v>
      </c>
      <c r="CK7" s="668">
        <f>([12]segmenty!$D$34)*1000</f>
        <v>3528000</v>
      </c>
      <c r="CL7" s="668">
        <f>([12]segmenty!$D$31)*1000</f>
        <v>2197000</v>
      </c>
      <c r="CM7" s="668">
        <f>([12]segmenty!$D$25)*1000</f>
        <v>24189000</v>
      </c>
      <c r="CO7" s="668">
        <f t="shared" si="21"/>
        <v>2770000</v>
      </c>
      <c r="CP7" s="668">
        <f t="shared" si="21"/>
        <v>102000</v>
      </c>
      <c r="CQ7" s="668">
        <f t="shared" si="21"/>
        <v>-246000</v>
      </c>
      <c r="CR7" s="668">
        <f t="shared" si="22"/>
        <v>24189000</v>
      </c>
      <c r="CT7" s="668">
        <f>([13]segmenty!$D$9)*1000</f>
        <v>8964000</v>
      </c>
      <c r="CU7" s="668">
        <f>([13]segmenty!$D$34)*1000</f>
        <v>3426000</v>
      </c>
      <c r="CV7" s="668">
        <f>([13]segmenty!$D$31)*1000</f>
        <v>2443000</v>
      </c>
      <c r="CW7" s="668">
        <f>([13]segmenty!$D$25)*1000</f>
        <v>23631000</v>
      </c>
      <c r="CY7" s="668">
        <f>('[13]segmenty 3 m-ce PREZ'!$D$9)*1000</f>
        <v>2846000</v>
      </c>
      <c r="CZ7" s="668">
        <f>('[13]segmenty 3 m-ce PREZ'!$D$16)*1000</f>
        <v>1096000</v>
      </c>
      <c r="DA7" s="668">
        <f>('[13]segmenty 3 m-ce PREZ'!$D$12)*1000</f>
        <v>761000</v>
      </c>
      <c r="DB7" s="668">
        <f t="shared" si="23"/>
        <v>23631000</v>
      </c>
      <c r="DD7" s="668">
        <f>[14]segmenty!$D$9*1000</f>
        <v>6118000</v>
      </c>
      <c r="DE7" s="668">
        <f>[14]segmenty!$D$34*1000</f>
        <v>2330000</v>
      </c>
      <c r="DF7" s="668">
        <f>[14]segmenty!$D$31*1000</f>
        <v>1682000</v>
      </c>
      <c r="DG7" s="668">
        <f>[14]segmenty!$D$25*1000</f>
        <v>23243000</v>
      </c>
      <c r="DI7" s="668">
        <f>('[14]segmenty 3 m-ce'!$D$69)*1000</f>
        <v>2791000</v>
      </c>
      <c r="DJ7" s="668">
        <f>('[14]segmenty 3 m-ce'!$D$84)*1000</f>
        <v>1044000</v>
      </c>
      <c r="DK7" s="668">
        <f>('[14]segmenty 3 m-ce'!$D$81)*1000</f>
        <v>714000</v>
      </c>
      <c r="DL7" s="668">
        <f t="shared" si="24"/>
        <v>23243000</v>
      </c>
      <c r="DN7" s="668">
        <f>[15]segmenty!$D$9*1000</f>
        <v>3327000</v>
      </c>
      <c r="DO7" s="668">
        <f>[15]segmenty!$D$34*1000</f>
        <v>1286000</v>
      </c>
      <c r="DP7" s="668">
        <f>[15]segmenty!$D$31*1000</f>
        <v>968000</v>
      </c>
      <c r="DQ7" s="668">
        <f>[15]segmenty!$D$25*1000</f>
        <v>23123000</v>
      </c>
      <c r="DS7" s="668">
        <f t="shared" si="25"/>
        <v>1880000</v>
      </c>
      <c r="DT7" s="668">
        <f t="shared" si="25"/>
        <v>590000</v>
      </c>
      <c r="DU7" s="668">
        <f t="shared" si="25"/>
        <v>264000</v>
      </c>
      <c r="DV7" s="668">
        <f t="shared" si="26"/>
        <v>22174000</v>
      </c>
      <c r="DX7" s="668">
        <v>7611000</v>
      </c>
      <c r="DY7" s="668">
        <v>2939000</v>
      </c>
      <c r="DZ7" s="668">
        <v>1679000</v>
      </c>
      <c r="EA7" s="668">
        <v>22174000</v>
      </c>
      <c r="EC7" s="461">
        <v>1812000</v>
      </c>
      <c r="ED7" s="461">
        <v>640000</v>
      </c>
      <c r="EE7" s="461">
        <v>323000</v>
      </c>
      <c r="EF7" s="461">
        <f t="shared" si="0"/>
        <v>21729000</v>
      </c>
      <c r="EH7" s="461">
        <v>5731000</v>
      </c>
      <c r="EI7" s="461">
        <v>2349000</v>
      </c>
      <c r="EJ7" s="461">
        <v>1415000</v>
      </c>
      <c r="EK7" s="461">
        <v>21729000</v>
      </c>
      <c r="EM7" s="461">
        <f t="shared" si="1"/>
        <v>1896000</v>
      </c>
      <c r="EN7" s="461">
        <f t="shared" si="1"/>
        <v>845000</v>
      </c>
      <c r="EO7" s="461">
        <f t="shared" si="1"/>
        <v>531000</v>
      </c>
      <c r="EP7" s="461">
        <v>21485000</v>
      </c>
      <c r="ER7" s="461">
        <v>3919000</v>
      </c>
      <c r="ES7" s="461">
        <v>1709000</v>
      </c>
      <c r="ET7" s="461">
        <v>1092000</v>
      </c>
      <c r="EU7" s="461">
        <v>21485000</v>
      </c>
      <c r="EW7" s="461">
        <v>2023000</v>
      </c>
      <c r="EX7" s="461">
        <v>864000</v>
      </c>
      <c r="EY7" s="461">
        <v>561000</v>
      </c>
      <c r="EZ7" s="461">
        <v>21339000</v>
      </c>
      <c r="FB7" s="461">
        <f t="shared" si="2"/>
        <v>1837094</v>
      </c>
      <c r="FC7" s="461">
        <f t="shared" si="2"/>
        <v>715992</v>
      </c>
      <c r="FD7" s="461">
        <f t="shared" si="2"/>
        <v>409711</v>
      </c>
      <c r="FE7" s="461">
        <f t="shared" si="3"/>
        <v>21117000</v>
      </c>
      <c r="FG7" s="461">
        <v>7099000</v>
      </c>
      <c r="FH7" s="461">
        <v>2967000</v>
      </c>
      <c r="FI7" s="461">
        <v>1767000</v>
      </c>
      <c r="FJ7" s="461">
        <v>21117000</v>
      </c>
      <c r="FL7" s="461">
        <f t="shared" si="4"/>
        <v>1742661</v>
      </c>
      <c r="FM7" s="461">
        <f t="shared" si="4"/>
        <v>732217</v>
      </c>
      <c r="FN7" s="461">
        <f t="shared" si="4"/>
        <v>433296</v>
      </c>
      <c r="FO7" s="461">
        <f t="shared" si="5"/>
        <v>20704377</v>
      </c>
      <c r="FQ7" s="461">
        <v>5261906</v>
      </c>
      <c r="FR7" s="461">
        <v>2251008</v>
      </c>
      <c r="FS7" s="461">
        <v>1357289</v>
      </c>
      <c r="FT7" s="461">
        <v>20704377</v>
      </c>
      <c r="FV7" s="461">
        <f t="shared" si="6"/>
        <v>1713489</v>
      </c>
      <c r="FW7" s="461">
        <f>GB7-GG7</f>
        <v>776933</v>
      </c>
      <c r="FX7" s="461">
        <f t="shared" si="6"/>
        <v>478417</v>
      </c>
      <c r="FY7" s="461">
        <f t="shared" si="7"/>
        <v>20564755</v>
      </c>
      <c r="GA7" s="461">
        <v>3519245</v>
      </c>
      <c r="GB7" s="461">
        <v>1518791</v>
      </c>
      <c r="GC7" s="461">
        <v>923993</v>
      </c>
      <c r="GD7" s="461">
        <v>20564755</v>
      </c>
      <c r="GF7" s="461">
        <v>1805756</v>
      </c>
      <c r="GG7" s="461">
        <v>741858</v>
      </c>
      <c r="GH7" s="461">
        <v>445576</v>
      </c>
      <c r="GI7" s="461">
        <v>20446819</v>
      </c>
      <c r="GK7" s="461">
        <f>GP7-GZ7</f>
        <v>1787577</v>
      </c>
      <c r="GL7" s="461">
        <f t="shared" si="8"/>
        <v>606130</v>
      </c>
      <c r="GM7" s="461">
        <f t="shared" si="8"/>
        <v>305513</v>
      </c>
      <c r="GN7" s="461">
        <f t="shared" si="9"/>
        <v>20079215</v>
      </c>
      <c r="GP7" s="461">
        <v>6866354</v>
      </c>
      <c r="GQ7" s="461">
        <v>3023006</v>
      </c>
      <c r="GR7" s="461">
        <v>1857009</v>
      </c>
      <c r="GS7" s="461">
        <v>20079215</v>
      </c>
      <c r="GU7" s="461">
        <v>1720223</v>
      </c>
      <c r="GV7" s="461">
        <v>728175</v>
      </c>
      <c r="GW7" s="461">
        <v>436050</v>
      </c>
      <c r="GX7" s="461">
        <f t="shared" si="10"/>
        <v>19708418</v>
      </c>
      <c r="GZ7" s="461">
        <v>5078777</v>
      </c>
      <c r="HA7" s="461">
        <v>2416876</v>
      </c>
      <c r="HB7" s="461">
        <v>1551496</v>
      </c>
      <c r="HC7" s="461">
        <v>19708418</v>
      </c>
      <c r="HE7" s="461">
        <f t="shared" si="11"/>
        <v>1569529</v>
      </c>
      <c r="HF7" s="462">
        <f t="shared" si="11"/>
        <v>1005158</v>
      </c>
      <c r="HG7" s="461">
        <f t="shared" si="11"/>
        <v>715011</v>
      </c>
      <c r="HH7" s="461">
        <v>19569783</v>
      </c>
      <c r="HJ7" s="461">
        <v>3358554</v>
      </c>
      <c r="HK7" s="462">
        <v>1688701</v>
      </c>
      <c r="HL7" s="461">
        <v>1115446</v>
      </c>
      <c r="HM7" s="461">
        <v>19569783</v>
      </c>
      <c r="HO7" s="461">
        <v>1789025</v>
      </c>
      <c r="HP7" s="462">
        <v>683543</v>
      </c>
      <c r="HQ7" s="461">
        <v>400435</v>
      </c>
      <c r="HR7" s="461">
        <v>19457317</v>
      </c>
      <c r="HS7" s="5"/>
      <c r="HT7" s="339">
        <v>6594864</v>
      </c>
      <c r="HU7" s="340">
        <v>2605808</v>
      </c>
      <c r="HV7" s="339">
        <v>1443741</v>
      </c>
      <c r="HW7" s="339">
        <v>19176164</v>
      </c>
      <c r="HY7" s="339">
        <v>1696579</v>
      </c>
      <c r="HZ7" s="340">
        <v>605677</v>
      </c>
      <c r="IA7" s="339">
        <v>302828</v>
      </c>
      <c r="IB7" s="339">
        <v>19176164</v>
      </c>
      <c r="ID7" s="339">
        <v>4898285</v>
      </c>
      <c r="IE7" s="340">
        <v>2000131</v>
      </c>
      <c r="IF7" s="339">
        <v>1140913</v>
      </c>
      <c r="IG7" s="339">
        <v>18653722</v>
      </c>
      <c r="II7" s="339">
        <v>1622943</v>
      </c>
      <c r="IJ7" s="340">
        <v>662812</v>
      </c>
      <c r="IK7" s="339">
        <v>376185</v>
      </c>
      <c r="IL7" s="339">
        <v>18653722</v>
      </c>
      <c r="IO7" s="339">
        <v>3275342</v>
      </c>
      <c r="IP7" s="340">
        <v>1337319</v>
      </c>
      <c r="IQ7" s="339">
        <v>764728</v>
      </c>
      <c r="IR7" s="339">
        <v>18478310</v>
      </c>
      <c r="IT7" s="339">
        <v>1594121</v>
      </c>
      <c r="IU7" s="340">
        <v>656124</v>
      </c>
      <c r="IV7" s="339">
        <v>377666</v>
      </c>
      <c r="IW7" s="339">
        <v>18478310</v>
      </c>
      <c r="IY7" s="339">
        <v>1681221</v>
      </c>
      <c r="IZ7" s="340">
        <v>681195</v>
      </c>
      <c r="JA7" s="339">
        <v>387062</v>
      </c>
      <c r="JB7" s="339">
        <v>18267535</v>
      </c>
      <c r="JD7" s="339">
        <v>6158215</v>
      </c>
      <c r="JE7" s="339">
        <v>2517465</v>
      </c>
      <c r="JF7" s="339">
        <v>1417102</v>
      </c>
      <c r="JG7" s="339">
        <v>18345603</v>
      </c>
      <c r="JI7" s="339">
        <v>1589634</v>
      </c>
      <c r="JJ7" s="340">
        <v>560921</v>
      </c>
      <c r="JK7" s="339">
        <v>273743</v>
      </c>
      <c r="JL7" s="339">
        <v>18345603</v>
      </c>
      <c r="JN7" s="339">
        <v>4568581</v>
      </c>
      <c r="JO7" s="340">
        <v>1956544</v>
      </c>
      <c r="JP7" s="339">
        <v>1143359</v>
      </c>
      <c r="JQ7" s="339">
        <v>17840427</v>
      </c>
      <c r="JS7" s="339">
        <v>1481610</v>
      </c>
      <c r="JT7" s="340">
        <v>620731</v>
      </c>
      <c r="JU7" s="339">
        <v>346908</v>
      </c>
      <c r="JV7" s="339">
        <v>17840427</v>
      </c>
      <c r="JX7" s="165">
        <v>3463808</v>
      </c>
      <c r="JY7" s="317">
        <v>1335813</v>
      </c>
      <c r="JZ7" s="165">
        <v>796451</v>
      </c>
      <c r="KA7" s="165">
        <v>17611246</v>
      </c>
      <c r="KC7" s="165">
        <v>1674971</v>
      </c>
      <c r="KD7" s="317">
        <v>697700</v>
      </c>
      <c r="KE7" s="165">
        <v>424886</v>
      </c>
      <c r="KF7" s="165">
        <v>17611246</v>
      </c>
      <c r="KH7" s="155">
        <v>1788837</v>
      </c>
      <c r="KI7" s="182">
        <v>638113</v>
      </c>
      <c r="KJ7" s="155">
        <v>371565</v>
      </c>
      <c r="KK7" s="155">
        <v>17380517</v>
      </c>
      <c r="KM7" s="155">
        <v>6719943</v>
      </c>
      <c r="KN7" s="155">
        <v>2282685</v>
      </c>
      <c r="KO7" s="155">
        <v>1210925</v>
      </c>
      <c r="KP7" s="155">
        <v>17409160</v>
      </c>
      <c r="KR7" s="155">
        <v>1733033</v>
      </c>
      <c r="KS7" s="182">
        <v>488087</v>
      </c>
      <c r="KT7" s="155">
        <v>212156</v>
      </c>
      <c r="KU7" s="155">
        <v>17409160</v>
      </c>
      <c r="KV7" s="156"/>
      <c r="KW7" s="155">
        <v>4986910</v>
      </c>
      <c r="KX7" s="155">
        <v>1794598</v>
      </c>
      <c r="KY7" s="155">
        <v>998769</v>
      </c>
      <c r="KZ7" s="155">
        <v>16902087</v>
      </c>
      <c r="LA7" s="155"/>
      <c r="LB7" s="155">
        <v>1618916</v>
      </c>
      <c r="LC7" s="155">
        <v>591288</v>
      </c>
      <c r="LD7" s="155">
        <v>321449</v>
      </c>
      <c r="LE7" s="155">
        <v>16902087</v>
      </c>
      <c r="LF7" s="156"/>
      <c r="LG7" s="155">
        <v>3367994</v>
      </c>
      <c r="LH7" s="155">
        <v>1203310</v>
      </c>
      <c r="LI7" s="155">
        <v>677320</v>
      </c>
      <c r="LJ7" s="155">
        <v>16825901</v>
      </c>
      <c r="LK7" s="156"/>
      <c r="LL7" s="155">
        <f t="shared" si="12"/>
        <v>1634573</v>
      </c>
      <c r="LM7" s="155">
        <f t="shared" si="12"/>
        <v>596299</v>
      </c>
      <c r="LN7" s="155">
        <f t="shared" si="12"/>
        <v>331709</v>
      </c>
      <c r="LO7" s="155">
        <f>LT7</f>
        <v>16773561</v>
      </c>
      <c r="LP7" s="156"/>
      <c r="LQ7" s="155">
        <v>1733421</v>
      </c>
      <c r="LR7" s="155">
        <v>607011</v>
      </c>
      <c r="LS7" s="155">
        <v>345611</v>
      </c>
      <c r="LT7" s="155">
        <v>16773561</v>
      </c>
      <c r="LU7" s="156"/>
      <c r="LV7" s="155">
        <v>6310216</v>
      </c>
      <c r="LW7" s="155">
        <v>2394812</v>
      </c>
      <c r="LX7" s="155">
        <v>1363236</v>
      </c>
      <c r="LY7" s="155">
        <v>16761938</v>
      </c>
      <c r="LZ7" s="156"/>
      <c r="MA7" s="155">
        <v>1634118</v>
      </c>
      <c r="MB7" s="155">
        <v>685152</v>
      </c>
      <c r="MC7" s="155">
        <v>416722</v>
      </c>
      <c r="MD7" s="155">
        <v>16761938</v>
      </c>
      <c r="ME7" s="156"/>
      <c r="MF7" s="155">
        <v>4676098</v>
      </c>
      <c r="MG7" s="155">
        <v>1709660</v>
      </c>
      <c r="MH7" s="155">
        <v>946514</v>
      </c>
      <c r="MI7" s="155">
        <v>16307098</v>
      </c>
      <c r="MJ7" s="156"/>
      <c r="MK7" s="155">
        <v>1531592</v>
      </c>
      <c r="ML7" s="155">
        <v>562063</v>
      </c>
      <c r="MM7" s="155">
        <v>302990</v>
      </c>
      <c r="MN7" s="155">
        <v>16307098</v>
      </c>
      <c r="MO7" s="156"/>
      <c r="MP7" s="155">
        <v>3144506</v>
      </c>
      <c r="MQ7" s="155">
        <v>1147597</v>
      </c>
      <c r="MR7" s="155">
        <v>643524</v>
      </c>
      <c r="MS7" s="155">
        <v>16152899</v>
      </c>
      <c r="MT7" s="156"/>
      <c r="MU7" s="155">
        <v>1528119</v>
      </c>
      <c r="MV7" s="155">
        <v>604338</v>
      </c>
      <c r="MW7" s="155">
        <v>351932</v>
      </c>
      <c r="MX7" s="155">
        <v>16152899</v>
      </c>
      <c r="MY7" s="156"/>
      <c r="MZ7" s="155">
        <v>1616387</v>
      </c>
      <c r="NA7" s="155">
        <v>543259</v>
      </c>
      <c r="NB7" s="155">
        <v>291592</v>
      </c>
      <c r="NC7" s="155">
        <v>16019643</v>
      </c>
      <c r="ND7" s="156"/>
      <c r="NE7" s="155">
        <v>6450274</v>
      </c>
      <c r="NF7" s="155">
        <v>2372129</v>
      </c>
      <c r="NG7" s="155">
        <v>1371577</v>
      </c>
      <c r="NH7" s="155">
        <v>15974893</v>
      </c>
      <c r="NI7" s="162"/>
      <c r="NJ7" s="155">
        <v>1657399</v>
      </c>
      <c r="NK7" s="155">
        <v>532836</v>
      </c>
      <c r="NL7" s="155">
        <v>264854</v>
      </c>
      <c r="NM7" s="155">
        <v>15974893</v>
      </c>
      <c r="NN7" s="162"/>
      <c r="NO7" s="155">
        <v>4792875</v>
      </c>
      <c r="NP7" s="155">
        <v>1839293</v>
      </c>
      <c r="NQ7" s="155">
        <v>1106723</v>
      </c>
      <c r="NR7" s="155">
        <v>15402617</v>
      </c>
      <c r="NS7" s="156"/>
      <c r="NT7" s="155">
        <v>1564518</v>
      </c>
      <c r="NU7" s="155">
        <v>596633</v>
      </c>
      <c r="NV7" s="155">
        <v>348307</v>
      </c>
      <c r="NW7" s="155">
        <v>15402617</v>
      </c>
      <c r="NX7" s="156"/>
      <c r="NY7" s="155">
        <v>3228357</v>
      </c>
      <c r="NZ7" s="155">
        <v>1243279</v>
      </c>
      <c r="OA7" s="155">
        <v>758416</v>
      </c>
      <c r="OB7" s="155">
        <v>15222418</v>
      </c>
      <c r="OC7" s="156"/>
      <c r="OD7" s="155">
        <v>1585385</v>
      </c>
      <c r="OE7" s="155">
        <v>696539</v>
      </c>
      <c r="OF7" s="155">
        <v>453363</v>
      </c>
      <c r="OG7" s="155">
        <v>15222418</v>
      </c>
      <c r="OH7" s="156"/>
      <c r="OI7" s="155">
        <v>1642972</v>
      </c>
      <c r="OJ7" s="155">
        <v>546740</v>
      </c>
      <c r="OK7" s="155">
        <v>305053</v>
      </c>
      <c r="OL7" s="155">
        <v>15087347</v>
      </c>
      <c r="OM7" s="156"/>
      <c r="ON7" s="162" t="s">
        <v>81</v>
      </c>
      <c r="OO7" s="155">
        <v>280998</v>
      </c>
      <c r="OP7" s="155">
        <v>180166</v>
      </c>
      <c r="OQ7" s="155">
        <v>102577</v>
      </c>
      <c r="OR7" s="179">
        <v>1985920</v>
      </c>
      <c r="OS7" s="156"/>
      <c r="OT7" s="155">
        <v>215979</v>
      </c>
      <c r="OU7" s="155">
        <v>142418</v>
      </c>
      <c r="OV7" s="155">
        <v>82343</v>
      </c>
      <c r="OW7" s="179">
        <v>1929270</v>
      </c>
      <c r="OX7" s="156"/>
      <c r="OY7" s="155">
        <v>144900</v>
      </c>
      <c r="OZ7" s="155">
        <v>96716</v>
      </c>
      <c r="PA7" s="155">
        <v>56649</v>
      </c>
      <c r="PB7" s="179">
        <v>1929486</v>
      </c>
      <c r="PC7" s="156"/>
      <c r="PD7" s="156"/>
      <c r="PE7" s="156"/>
      <c r="PF7" s="156"/>
      <c r="PG7" s="156"/>
      <c r="PH7" s="156"/>
      <c r="PI7" s="156"/>
      <c r="PJ7" s="156"/>
      <c r="PK7" s="156"/>
      <c r="PL7" s="156"/>
      <c r="PM7" s="156"/>
      <c r="PN7" s="156"/>
      <c r="PO7" s="156"/>
      <c r="PP7" s="156"/>
      <c r="PQ7" s="156"/>
      <c r="PR7" s="156"/>
      <c r="PS7" s="156"/>
      <c r="PT7" s="156"/>
      <c r="PU7" s="156"/>
      <c r="PV7" s="156"/>
      <c r="PW7" s="156"/>
      <c r="PX7" s="156"/>
      <c r="PY7" s="156"/>
      <c r="PZ7" s="156"/>
      <c r="QA7" s="156"/>
      <c r="QB7" s="156"/>
      <c r="QC7" s="156"/>
      <c r="QD7" s="156"/>
      <c r="QE7" s="156"/>
      <c r="QF7" s="156"/>
      <c r="QG7" s="156"/>
      <c r="QH7" s="156"/>
      <c r="QI7" s="156"/>
      <c r="QJ7" s="156"/>
      <c r="QK7" s="156"/>
      <c r="QL7" s="156"/>
      <c r="QM7" s="156"/>
      <c r="QN7" s="156"/>
      <c r="QO7" s="156"/>
      <c r="QP7" s="156"/>
      <c r="QQ7" s="156"/>
      <c r="QR7" s="156"/>
      <c r="QS7" s="156"/>
      <c r="QT7" s="156"/>
    </row>
    <row r="8" spans="1:462">
      <c r="A8" s="58" t="s">
        <v>77</v>
      </c>
      <c r="C8" s="757">
        <f>'[3]segmenty prez'!$E$9*1000</f>
        <v>11032000</v>
      </c>
      <c r="D8" s="757">
        <f>'[3]segmenty prez'!$E$19*1000</f>
        <v>272000</v>
      </c>
      <c r="E8" s="757">
        <f>'[3]segmenty prez'!$E$15*1000</f>
        <v>269000</v>
      </c>
      <c r="F8" s="757">
        <f>'[3]segmenty prez'!$E$28*1000</f>
        <v>5222000</v>
      </c>
      <c r="H8" s="757">
        <f>'[3]segmenty 3 m-ce PREZ'!$E$9*1000</f>
        <v>4797000</v>
      </c>
      <c r="I8" s="757">
        <f>'[3]segmenty 3 m-ce PREZ'!$E$19*1000</f>
        <v>-7000</v>
      </c>
      <c r="J8" s="757">
        <f>'[3]segmenty 3 m-ce PREZ'!$E$15*1000</f>
        <v>-8000</v>
      </c>
      <c r="K8" s="757">
        <f t="shared" si="13"/>
        <v>5222000</v>
      </c>
      <c r="M8" s="668">
        <f>('[4]segmenty prez'!$E$9)*1000</f>
        <v>6235000</v>
      </c>
      <c r="N8" s="668">
        <f>('[4]segmenty prez'!$E$19)*1000</f>
        <v>279000</v>
      </c>
      <c r="O8" s="668">
        <f>('[4]segmenty prez'!$E$15)*1000</f>
        <v>277000</v>
      </c>
      <c r="P8" s="668">
        <f>('[4]segmenty prez'!$E$28)*1000</f>
        <v>4165000</v>
      </c>
      <c r="R8" s="668">
        <f>[5]segmenty!$F$9*1000</f>
        <v>25153000</v>
      </c>
      <c r="S8" s="668">
        <f>[5]segmenty!$F$36*1000</f>
        <v>662000</v>
      </c>
      <c r="T8" s="668">
        <f>[5]segmenty!$F$33*1000</f>
        <v>651000</v>
      </c>
      <c r="U8" s="668">
        <f>[5]segmenty!$F$27*1000</f>
        <v>3804000</v>
      </c>
      <c r="W8" s="668">
        <f t="shared" si="14"/>
        <v>5927000</v>
      </c>
      <c r="X8" s="668">
        <f t="shared" si="14"/>
        <v>-111000</v>
      </c>
      <c r="Y8" s="668">
        <f t="shared" si="14"/>
        <v>-118000</v>
      </c>
      <c r="Z8" s="668">
        <f t="shared" si="15"/>
        <v>3804000</v>
      </c>
      <c r="AB8" s="668">
        <f>'[6]segmenty prez'!$F$9*1000</f>
        <v>19226000</v>
      </c>
      <c r="AC8" s="668">
        <f>'[6]segmenty prez'!$F$16*1000</f>
        <v>773000</v>
      </c>
      <c r="AD8" s="668">
        <f>'[6]segmenty prez'!$F$12*1000</f>
        <v>769000</v>
      </c>
      <c r="AE8" s="668">
        <f>'[6]segmenty prez'!$F$25*1000</f>
        <v>3373000</v>
      </c>
      <c r="AG8" s="668">
        <f>([6]segmenty!$F$9)*1000</f>
        <v>19226000</v>
      </c>
      <c r="AH8" s="668">
        <f>([6]segmenty!$F$34)*1000</f>
        <v>773000</v>
      </c>
      <c r="AI8" s="668">
        <f>([6]segmenty!$F$31)*1000</f>
        <v>769000</v>
      </c>
      <c r="AJ8" s="668">
        <f>[6]segmenty!$F$25*1000</f>
        <v>3373000</v>
      </c>
      <c r="AL8" s="668">
        <f>'[7]segmenty prez'!$F$9*1000</f>
        <v>13030000</v>
      </c>
      <c r="AM8" s="668">
        <f>'[7]segmenty prez'!$F$16*1000</f>
        <v>577000</v>
      </c>
      <c r="AN8" s="668">
        <f>'[7]segmenty prez'!$F$12*1000</f>
        <v>574000</v>
      </c>
      <c r="AO8" s="668">
        <f>'[7]segmenty prez'!$F$25*1000</f>
        <v>3392000</v>
      </c>
      <c r="AQ8" s="668">
        <f>'[7]segmenty 3 m-ce PREZ'!$F$9*1000</f>
        <v>6389000</v>
      </c>
      <c r="AR8" s="668">
        <f>'[7]segmenty 3 m-ce PREZ'!$F$16*1000</f>
        <v>129000</v>
      </c>
      <c r="AS8" s="668">
        <f>'[7]segmenty 3 m-ce PREZ'!$F$12*1000</f>
        <v>127000</v>
      </c>
      <c r="AT8" s="668">
        <f t="shared" si="16"/>
        <v>3392000</v>
      </c>
      <c r="AV8" s="668">
        <f>([8]segmenty!$F$9)*1000</f>
        <v>6641000</v>
      </c>
      <c r="AW8" s="668">
        <f>([8]segmenty!$F$34)*1000</f>
        <v>448000</v>
      </c>
      <c r="AX8" s="668">
        <f>([8]segmenty!$F$31)*1000</f>
        <v>447000</v>
      </c>
      <c r="AY8" s="668">
        <f>([8]segmenty!$F$25)*1000</f>
        <v>6138000</v>
      </c>
      <c r="BA8" s="668">
        <f>[9]segmenty!$F$9*1000</f>
        <v>27230000</v>
      </c>
      <c r="BB8" s="668">
        <f>[9]segmenty!$F$34*1000</f>
        <v>598000</v>
      </c>
      <c r="BC8" s="668">
        <f>[9]segmenty!$F$31*1000</f>
        <v>547000</v>
      </c>
      <c r="BD8" s="668">
        <f>[9]segmenty!$F$25*1000</f>
        <v>5132000</v>
      </c>
      <c r="BF8" s="668">
        <f t="shared" si="27"/>
        <v>6700000</v>
      </c>
      <c r="BG8" s="668">
        <f t="shared" si="17"/>
        <v>-109000</v>
      </c>
      <c r="BH8" s="668">
        <f t="shared" si="17"/>
        <v>-119000</v>
      </c>
      <c r="BI8" s="668">
        <f t="shared" si="18"/>
        <v>5132000</v>
      </c>
      <c r="BK8" s="668">
        <f>([10]segmenty!$F$9)*1000+406000</f>
        <v>20530000</v>
      </c>
      <c r="BL8" s="668">
        <f>([10]segmenty!$F$34)*1000-55000</f>
        <v>707000</v>
      </c>
      <c r="BM8" s="668">
        <f>([10]segmenty!$F$31)*1000-55000</f>
        <v>666000</v>
      </c>
      <c r="BN8" s="668">
        <f>([10]segmenty!$F$25)*1000</f>
        <v>5215000</v>
      </c>
      <c r="BP8" s="668">
        <f>('[6]segmenty 3 m-ce PREZ'!$F$9)*1000</f>
        <v>6196000</v>
      </c>
      <c r="BQ8" s="668">
        <f>('[6]segmenty 3 m-ce PREZ'!$F$16)*1000</f>
        <v>196000</v>
      </c>
      <c r="BR8" s="668">
        <f>('[6]segmenty 3 m-ce PREZ'!$F$12)*1000</f>
        <v>195000</v>
      </c>
      <c r="BS8" s="668">
        <f t="shared" si="19"/>
        <v>5215000</v>
      </c>
      <c r="BU8" s="668">
        <f>11703000+404000</f>
        <v>12107000</v>
      </c>
      <c r="BV8" s="668">
        <f>699000-58000</f>
        <v>641000</v>
      </c>
      <c r="BW8" s="668">
        <f>673000-58000</f>
        <v>615000</v>
      </c>
      <c r="BX8" s="668">
        <v>5370000</v>
      </c>
      <c r="BZ8" s="668">
        <f>5199000+62000</f>
        <v>5261000</v>
      </c>
      <c r="CA8" s="668">
        <f>363000-7000</f>
        <v>356000</v>
      </c>
      <c r="CB8" s="668">
        <f>350000-7000</f>
        <v>343000</v>
      </c>
      <c r="CC8" s="668">
        <f t="shared" si="20"/>
        <v>5370000</v>
      </c>
      <c r="CE8" s="668">
        <v>6802000</v>
      </c>
      <c r="CF8" s="668">
        <f>[11]segmenty!$E$34*1000-51000-11000</f>
        <v>273000</v>
      </c>
      <c r="CG8" s="668">
        <f>[11]segmenty!$E$31*1000-51000+1000</f>
        <v>272000</v>
      </c>
      <c r="CH8" s="668">
        <f>[11]segmenty!$E$25*1000</f>
        <v>6851000</v>
      </c>
      <c r="CJ8" s="668">
        <f>([12]segmenty!$E$9)*1000</f>
        <v>35803000</v>
      </c>
      <c r="CK8" s="668">
        <f>([12]segmenty!$E$34)*1000</f>
        <v>568000</v>
      </c>
      <c r="CL8" s="668">
        <f>([12]segmenty!$E$31)*1000</f>
        <v>522000</v>
      </c>
      <c r="CM8" s="668">
        <f>([12]segmenty!$E$25)*1000</f>
        <v>8550000</v>
      </c>
      <c r="CO8" s="668">
        <f t="shared" si="21"/>
        <v>8533000</v>
      </c>
      <c r="CP8" s="668">
        <f t="shared" si="21"/>
        <v>112000</v>
      </c>
      <c r="CQ8" s="668">
        <f t="shared" si="21"/>
        <v>108000</v>
      </c>
      <c r="CR8" s="668">
        <f t="shared" si="22"/>
        <v>8550000</v>
      </c>
      <c r="CT8" s="668">
        <f>([13]segmenty!$E$9)*1000</f>
        <v>27270000</v>
      </c>
      <c r="CU8" s="668">
        <f>([13]segmenty!$E$34)*1000</f>
        <v>456000</v>
      </c>
      <c r="CV8" s="668">
        <f>([13]segmenty!$E$31)*1000</f>
        <v>414000</v>
      </c>
      <c r="CW8" s="668">
        <f>([13]segmenty!$E$25)*1000</f>
        <v>8842000</v>
      </c>
      <c r="CY8" s="668">
        <f>('[13]segmenty 3 m-ce PREZ'!$E$9)*1000</f>
        <v>6349000</v>
      </c>
      <c r="CZ8" s="668">
        <f>('[13]segmenty 3 m-ce PREZ'!$E$16)*1000</f>
        <v>-91000</v>
      </c>
      <c r="DA8" s="668">
        <f>('[13]segmenty 3 m-ce PREZ'!$E$12)*1000</f>
        <v>-104000</v>
      </c>
      <c r="DB8" s="668">
        <f t="shared" si="23"/>
        <v>8842000</v>
      </c>
      <c r="DD8" s="668">
        <f>[14]segmenty!$E$9*1000</f>
        <v>20921000</v>
      </c>
      <c r="DE8" s="668">
        <f>[14]segmenty!$E$34*1000</f>
        <v>547000</v>
      </c>
      <c r="DF8" s="668">
        <f>[14]segmenty!$E$31*1000</f>
        <v>518000</v>
      </c>
      <c r="DG8" s="668">
        <f>[14]segmenty!$E$25*1000</f>
        <v>8069000</v>
      </c>
      <c r="DI8" s="668">
        <f>('[14]segmenty 3 m-ce'!$E$69)*1000</f>
        <v>8689000</v>
      </c>
      <c r="DJ8" s="668">
        <f>('[14]segmenty 3 m-ce'!$E$84)*1000</f>
        <v>402000</v>
      </c>
      <c r="DK8" s="668">
        <f>('[14]segmenty 3 m-ce'!$E$81)*1000</f>
        <v>386000</v>
      </c>
      <c r="DL8" s="668">
        <f t="shared" si="24"/>
        <v>8069000</v>
      </c>
      <c r="DN8" s="668">
        <f>[15]segmenty!$E$9*1000</f>
        <v>12232000</v>
      </c>
      <c r="DO8" s="668">
        <f>[15]segmenty!$E$34*1000</f>
        <v>145000</v>
      </c>
      <c r="DP8" s="668">
        <f>[15]segmenty!$E$31*1000</f>
        <v>132000</v>
      </c>
      <c r="DQ8" s="668">
        <f>[15]segmenty!$E$25*1000</f>
        <v>10826000</v>
      </c>
      <c r="DS8" s="668">
        <f t="shared" si="25"/>
        <v>9180000</v>
      </c>
      <c r="DT8" s="668">
        <f t="shared" si="25"/>
        <v>85000</v>
      </c>
      <c r="DU8" s="668">
        <f t="shared" si="25"/>
        <v>74000</v>
      </c>
      <c r="DV8" s="668">
        <f t="shared" si="26"/>
        <v>6701000</v>
      </c>
      <c r="DX8" s="668">
        <v>35491000</v>
      </c>
      <c r="DY8" s="668">
        <v>594000</v>
      </c>
      <c r="DZ8" s="668">
        <v>550000</v>
      </c>
      <c r="EA8" s="668">
        <v>6701000</v>
      </c>
      <c r="EC8" s="461">
        <v>8058000</v>
      </c>
      <c r="ED8" s="461">
        <v>468000</v>
      </c>
      <c r="EE8" s="461">
        <v>457000</v>
      </c>
      <c r="EF8" s="461">
        <f t="shared" si="0"/>
        <v>6480000</v>
      </c>
      <c r="EH8" s="461">
        <v>26311000</v>
      </c>
      <c r="EI8" s="461">
        <v>509000</v>
      </c>
      <c r="EJ8" s="461">
        <v>476000</v>
      </c>
      <c r="EK8" s="461">
        <v>6480000</v>
      </c>
      <c r="EM8" s="461">
        <f t="shared" si="1"/>
        <v>7670000</v>
      </c>
      <c r="EN8" s="461">
        <f t="shared" si="1"/>
        <v>144000</v>
      </c>
      <c r="EO8" s="461">
        <f t="shared" si="1"/>
        <v>132000</v>
      </c>
      <c r="EP8" s="461">
        <v>5667000</v>
      </c>
      <c r="ER8" s="461">
        <v>18257000</v>
      </c>
      <c r="ES8" s="461">
        <v>41000</v>
      </c>
      <c r="ET8" s="461">
        <v>19000</v>
      </c>
      <c r="EU8" s="461">
        <v>5667000</v>
      </c>
      <c r="EW8" s="461">
        <v>10587000</v>
      </c>
      <c r="EX8" s="461">
        <v>-103000</v>
      </c>
      <c r="EY8" s="461">
        <v>-113000</v>
      </c>
      <c r="EZ8" s="461">
        <v>5899000</v>
      </c>
      <c r="FB8" s="461">
        <f t="shared" si="2"/>
        <v>7795708</v>
      </c>
      <c r="FC8" s="461">
        <f t="shared" si="2"/>
        <v>-500916</v>
      </c>
      <c r="FD8" s="461">
        <f t="shared" si="2"/>
        <v>-510152</v>
      </c>
      <c r="FE8" s="461">
        <f t="shared" si="3"/>
        <v>4508000</v>
      </c>
      <c r="FG8" s="461">
        <v>24134000</v>
      </c>
      <c r="FH8" s="461">
        <v>-524000</v>
      </c>
      <c r="FI8" s="461">
        <v>-564000</v>
      </c>
      <c r="FJ8" s="461">
        <v>4508000</v>
      </c>
      <c r="FL8" s="461">
        <f t="shared" si="4"/>
        <v>5613346</v>
      </c>
      <c r="FM8" s="461">
        <f t="shared" si="4"/>
        <v>-259613</v>
      </c>
      <c r="FN8" s="461">
        <f t="shared" si="4"/>
        <v>-270528</v>
      </c>
      <c r="FO8" s="461">
        <f t="shared" si="5"/>
        <v>4393222</v>
      </c>
      <c r="FQ8" s="461">
        <v>16338292</v>
      </c>
      <c r="FR8" s="461">
        <v>-23084</v>
      </c>
      <c r="FS8" s="461">
        <v>-53848</v>
      </c>
      <c r="FT8" s="461">
        <v>4393222</v>
      </c>
      <c r="FV8" s="461">
        <f t="shared" si="6"/>
        <v>4644755</v>
      </c>
      <c r="FW8" s="461">
        <f t="shared" si="6"/>
        <v>2408</v>
      </c>
      <c r="FX8" s="461">
        <f t="shared" si="6"/>
        <v>-7803</v>
      </c>
      <c r="FY8" s="461">
        <f t="shared" si="7"/>
        <v>4415857</v>
      </c>
      <c r="GA8" s="461">
        <v>10724946</v>
      </c>
      <c r="GB8" s="461">
        <v>236529</v>
      </c>
      <c r="GC8" s="461">
        <v>216680</v>
      </c>
      <c r="GD8" s="461">
        <v>4415857</v>
      </c>
      <c r="GF8" s="461">
        <v>6080191</v>
      </c>
      <c r="GG8" s="461">
        <v>234121</v>
      </c>
      <c r="GH8" s="461">
        <v>224483</v>
      </c>
      <c r="GI8" s="461">
        <v>5326016</v>
      </c>
      <c r="GK8" s="461">
        <f t="shared" si="8"/>
        <v>5098664</v>
      </c>
      <c r="GL8" s="461">
        <f t="shared" si="8"/>
        <v>42809</v>
      </c>
      <c r="GM8" s="461">
        <f t="shared" si="8"/>
        <v>34247</v>
      </c>
      <c r="GN8" s="461">
        <f t="shared" si="9"/>
        <v>4614093</v>
      </c>
      <c r="GP8" s="461">
        <v>17249258</v>
      </c>
      <c r="GQ8" s="461">
        <v>683352</v>
      </c>
      <c r="GR8" s="461">
        <v>641648</v>
      </c>
      <c r="GS8" s="461">
        <v>4614093</v>
      </c>
      <c r="GU8" s="461">
        <v>4136093</v>
      </c>
      <c r="GV8" s="461">
        <v>237639</v>
      </c>
      <c r="GW8" s="461">
        <v>228215</v>
      </c>
      <c r="GX8" s="461">
        <f t="shared" si="10"/>
        <v>4015581</v>
      </c>
      <c r="GZ8" s="461">
        <v>12150594</v>
      </c>
      <c r="HA8" s="461">
        <v>640543</v>
      </c>
      <c r="HB8" s="461">
        <v>607401</v>
      </c>
      <c r="HC8" s="461">
        <v>4015581</v>
      </c>
      <c r="HE8" s="461">
        <f t="shared" si="11"/>
        <v>3783659</v>
      </c>
      <c r="HF8" s="462">
        <f t="shared" si="11"/>
        <v>220472</v>
      </c>
      <c r="HG8" s="461">
        <f t="shared" si="11"/>
        <v>208415</v>
      </c>
      <c r="HH8" s="461">
        <v>3932067</v>
      </c>
      <c r="HJ8" s="461">
        <v>8014501</v>
      </c>
      <c r="HK8" s="462">
        <v>402904</v>
      </c>
      <c r="HL8" s="461">
        <v>379186</v>
      </c>
      <c r="HM8" s="461">
        <v>3932067</v>
      </c>
      <c r="HO8" s="461">
        <v>4230842</v>
      </c>
      <c r="HP8" s="462">
        <v>182432</v>
      </c>
      <c r="HQ8" s="461">
        <v>170771</v>
      </c>
      <c r="HR8" s="461">
        <v>5683262</v>
      </c>
      <c r="HS8" s="5"/>
      <c r="HT8" s="339">
        <v>14907937</v>
      </c>
      <c r="HU8" s="340">
        <v>428577</v>
      </c>
      <c r="HV8" s="339">
        <v>382185</v>
      </c>
      <c r="HW8" s="339">
        <v>4730135</v>
      </c>
      <c r="HY8" s="339">
        <v>4508216</v>
      </c>
      <c r="HZ8" s="340">
        <v>-105072</v>
      </c>
      <c r="IA8" s="339">
        <v>-121577</v>
      </c>
      <c r="IB8" s="339">
        <v>4730135</v>
      </c>
      <c r="ID8" s="339">
        <v>11221177</v>
      </c>
      <c r="IE8" s="340">
        <v>533649</v>
      </c>
      <c r="IF8" s="339">
        <v>503762</v>
      </c>
      <c r="IG8" s="339">
        <v>5467453</v>
      </c>
      <c r="II8" s="339">
        <v>3574882</v>
      </c>
      <c r="IJ8" s="340">
        <v>110407</v>
      </c>
      <c r="IK8" s="339">
        <v>100132</v>
      </c>
      <c r="IL8" s="339">
        <v>5467453</v>
      </c>
      <c r="IO8" s="339">
        <v>7646295</v>
      </c>
      <c r="IP8" s="340">
        <v>423242</v>
      </c>
      <c r="IQ8" s="339">
        <v>403630</v>
      </c>
      <c r="IR8" s="339">
        <v>5007556</v>
      </c>
      <c r="IT8" s="339">
        <v>3734873</v>
      </c>
      <c r="IU8" s="340">
        <v>258311</v>
      </c>
      <c r="IV8" s="339">
        <v>248406</v>
      </c>
      <c r="IW8" s="339">
        <v>5007556</v>
      </c>
      <c r="IY8" s="339">
        <v>3911422</v>
      </c>
      <c r="IZ8" s="340">
        <v>164931</v>
      </c>
      <c r="JA8" s="339">
        <v>155224</v>
      </c>
      <c r="JB8" s="339">
        <v>4159845</v>
      </c>
      <c r="JD8" s="339">
        <v>14074115</v>
      </c>
      <c r="JE8" s="339">
        <v>320543</v>
      </c>
      <c r="JF8" s="339">
        <v>306481</v>
      </c>
      <c r="JG8" s="339">
        <v>3379688</v>
      </c>
      <c r="JI8" s="339">
        <v>4246144</v>
      </c>
      <c r="JJ8" s="340">
        <v>-130503</v>
      </c>
      <c r="JK8" s="339">
        <v>-139147</v>
      </c>
      <c r="JL8" s="339">
        <v>3379688</v>
      </c>
      <c r="JN8" s="339">
        <v>9827971</v>
      </c>
      <c r="JO8" s="340">
        <v>451046</v>
      </c>
      <c r="JP8" s="339">
        <v>445628</v>
      </c>
      <c r="JQ8" s="339">
        <v>3730514</v>
      </c>
      <c r="JS8" s="339">
        <v>3415412</v>
      </c>
      <c r="JT8" s="340">
        <v>124688</v>
      </c>
      <c r="JU8" s="339">
        <v>123068</v>
      </c>
      <c r="JV8" s="339">
        <v>3730514</v>
      </c>
      <c r="JX8" s="165">
        <v>6615132</v>
      </c>
      <c r="JY8" s="317">
        <v>326358</v>
      </c>
      <c r="JZ8" s="165">
        <v>322560</v>
      </c>
      <c r="KA8" s="165">
        <v>2748081</v>
      </c>
      <c r="KC8" s="165">
        <v>3161469</v>
      </c>
      <c r="KD8" s="317">
        <v>148570</v>
      </c>
      <c r="KE8" s="165">
        <v>146778</v>
      </c>
      <c r="KF8" s="165">
        <v>2748081</v>
      </c>
      <c r="KH8" s="155">
        <v>3453663</v>
      </c>
      <c r="KI8" s="182">
        <v>177788</v>
      </c>
      <c r="KJ8" s="155">
        <v>175782</v>
      </c>
      <c r="KK8" s="155">
        <v>2878641</v>
      </c>
      <c r="KM8" s="155">
        <v>13567887</v>
      </c>
      <c r="KN8" s="155">
        <v>841222</v>
      </c>
      <c r="KO8" s="155">
        <v>832216</v>
      </c>
      <c r="KP8" s="155">
        <v>3041966</v>
      </c>
      <c r="KR8" s="155">
        <v>3760678</v>
      </c>
      <c r="KS8" s="182">
        <v>150244</v>
      </c>
      <c r="KT8" s="155">
        <v>148297</v>
      </c>
      <c r="KU8" s="155">
        <v>3041966</v>
      </c>
      <c r="KV8" s="156"/>
      <c r="KW8" s="155">
        <v>9807209</v>
      </c>
      <c r="KX8" s="155">
        <v>690978</v>
      </c>
      <c r="KY8" s="155">
        <v>683919</v>
      </c>
      <c r="KZ8" s="155">
        <v>4130769</v>
      </c>
      <c r="LA8" s="155"/>
      <c r="LB8" s="155">
        <v>3130213</v>
      </c>
      <c r="LC8" s="155">
        <v>145582</v>
      </c>
      <c r="LD8" s="155">
        <v>143502</v>
      </c>
      <c r="LE8" s="155">
        <v>4130769</v>
      </c>
      <c r="LF8" s="156"/>
      <c r="LG8" s="155">
        <v>6676996</v>
      </c>
      <c r="LH8" s="155">
        <v>545396</v>
      </c>
      <c r="LI8" s="155">
        <v>540417</v>
      </c>
      <c r="LJ8" s="155">
        <v>2033300</v>
      </c>
      <c r="LK8" s="156"/>
      <c r="LL8" s="155">
        <f t="shared" si="12"/>
        <v>3059559</v>
      </c>
      <c r="LM8" s="155">
        <f t="shared" si="12"/>
        <v>165425</v>
      </c>
      <c r="LN8" s="155">
        <f t="shared" si="12"/>
        <v>163143</v>
      </c>
      <c r="LO8" s="155">
        <f>LT8</f>
        <v>2252443</v>
      </c>
      <c r="LP8" s="156"/>
      <c r="LQ8" s="155">
        <v>3617437</v>
      </c>
      <c r="LR8" s="155">
        <v>379971</v>
      </c>
      <c r="LS8" s="155">
        <v>377274</v>
      </c>
      <c r="LT8" s="155">
        <v>2252443</v>
      </c>
      <c r="LU8" s="156"/>
      <c r="LV8" s="155">
        <v>14016190</v>
      </c>
      <c r="LW8" s="155">
        <v>490005</v>
      </c>
      <c r="LX8" s="155">
        <v>479374</v>
      </c>
      <c r="LY8" s="155">
        <v>2659458</v>
      </c>
      <c r="LZ8" s="156"/>
      <c r="MA8" s="155">
        <v>3729207</v>
      </c>
      <c r="MB8" s="155">
        <v>92886</v>
      </c>
      <c r="MC8" s="155">
        <v>90563</v>
      </c>
      <c r="MD8" s="155">
        <v>2659458</v>
      </c>
      <c r="ME8" s="156"/>
      <c r="MF8" s="155">
        <v>10286983</v>
      </c>
      <c r="MG8" s="155">
        <v>397119</v>
      </c>
      <c r="MH8" s="155">
        <v>388811</v>
      </c>
      <c r="MI8" s="155">
        <v>2204864</v>
      </c>
      <c r="MJ8" s="156"/>
      <c r="MK8" s="155">
        <v>3299797</v>
      </c>
      <c r="ML8" s="155">
        <v>117315</v>
      </c>
      <c r="MM8" s="155">
        <v>114921</v>
      </c>
      <c r="MN8" s="155">
        <v>2204864</v>
      </c>
      <c r="MO8" s="156"/>
      <c r="MP8" s="155">
        <v>6987186</v>
      </c>
      <c r="MQ8" s="155">
        <v>279804</v>
      </c>
      <c r="MR8" s="155">
        <v>273890</v>
      </c>
      <c r="MS8" s="155">
        <v>2310378</v>
      </c>
      <c r="MT8" s="156"/>
      <c r="MU8" s="155">
        <v>3395998</v>
      </c>
      <c r="MV8" s="155">
        <v>113042</v>
      </c>
      <c r="MW8" s="155">
        <v>113669</v>
      </c>
      <c r="MX8" s="155">
        <v>2310378</v>
      </c>
      <c r="MY8" s="156"/>
      <c r="MZ8" s="155">
        <v>3591188</v>
      </c>
      <c r="NA8" s="155">
        <v>166762</v>
      </c>
      <c r="NB8" s="155">
        <v>160221</v>
      </c>
      <c r="NC8" s="155">
        <v>2398142</v>
      </c>
      <c r="ND8" s="156"/>
      <c r="NE8" s="155">
        <v>15984139</v>
      </c>
      <c r="NF8" s="155">
        <v>380480</v>
      </c>
      <c r="NG8" s="155">
        <v>369604</v>
      </c>
      <c r="NH8" s="155">
        <v>2706907</v>
      </c>
      <c r="NI8" s="162"/>
      <c r="NJ8" s="155">
        <v>4170986</v>
      </c>
      <c r="NK8" s="155">
        <v>-71455</v>
      </c>
      <c r="NL8" s="155">
        <v>-74193</v>
      </c>
      <c r="NM8" s="155">
        <v>2706907</v>
      </c>
      <c r="NN8" s="162"/>
      <c r="NO8" s="155">
        <v>11813153</v>
      </c>
      <c r="NP8" s="155">
        <v>451935</v>
      </c>
      <c r="NQ8" s="155">
        <v>443797</v>
      </c>
      <c r="NR8" s="155">
        <v>3016254</v>
      </c>
      <c r="NS8" s="156"/>
      <c r="NT8" s="155">
        <v>3719173</v>
      </c>
      <c r="NU8" s="155">
        <v>116782</v>
      </c>
      <c r="NV8" s="155">
        <v>114042</v>
      </c>
      <c r="NW8" s="155">
        <v>3016254</v>
      </c>
      <c r="NX8" s="156"/>
      <c r="NY8" s="155">
        <v>8093980</v>
      </c>
      <c r="NZ8" s="155">
        <v>335153</v>
      </c>
      <c r="OA8" s="155">
        <v>329755</v>
      </c>
      <c r="OB8" s="155">
        <v>2836963</v>
      </c>
      <c r="OC8" s="156"/>
      <c r="OD8" s="155">
        <v>3915698</v>
      </c>
      <c r="OE8" s="155">
        <v>141382</v>
      </c>
      <c r="OF8" s="155">
        <v>138710</v>
      </c>
      <c r="OG8" s="155">
        <v>2836963</v>
      </c>
      <c r="OH8" s="156"/>
      <c r="OI8" s="155">
        <v>4178282</v>
      </c>
      <c r="OJ8" s="155">
        <v>193771</v>
      </c>
      <c r="OK8" s="155">
        <v>191045</v>
      </c>
      <c r="OL8" s="155">
        <v>3003005</v>
      </c>
      <c r="OM8" s="156"/>
      <c r="ON8" s="162" t="s">
        <v>82</v>
      </c>
      <c r="OO8" s="155">
        <v>1355454</v>
      </c>
      <c r="OP8" s="155">
        <v>308407</v>
      </c>
      <c r="OQ8" s="155">
        <v>158763</v>
      </c>
      <c r="OR8" s="155">
        <v>2781001</v>
      </c>
      <c r="OS8" s="156"/>
      <c r="OT8" s="155">
        <v>966998</v>
      </c>
      <c r="OU8" s="155">
        <v>181802</v>
      </c>
      <c r="OV8" s="155">
        <v>71156</v>
      </c>
      <c r="OW8" s="155">
        <v>3101958</v>
      </c>
      <c r="OX8" s="156"/>
      <c r="OY8" s="155">
        <v>717877</v>
      </c>
      <c r="OZ8" s="155">
        <v>165226</v>
      </c>
      <c r="PA8" s="155">
        <v>92480</v>
      </c>
      <c r="PB8" s="155">
        <v>2962505</v>
      </c>
      <c r="PC8" s="156"/>
      <c r="PD8" s="156"/>
      <c r="PE8" s="156"/>
      <c r="PF8" s="156"/>
      <c r="PG8" s="156"/>
      <c r="PH8" s="156"/>
      <c r="PI8" s="156"/>
      <c r="PJ8" s="156"/>
      <c r="PK8" s="156"/>
      <c r="PL8" s="156"/>
      <c r="PM8" s="156"/>
      <c r="PN8" s="156"/>
      <c r="PO8" s="156"/>
      <c r="PP8" s="156"/>
      <c r="PQ8" s="156"/>
      <c r="PR8" s="156"/>
      <c r="PS8" s="156"/>
      <c r="PT8" s="156"/>
      <c r="PU8" s="156"/>
      <c r="PV8" s="156"/>
      <c r="PW8" s="156"/>
      <c r="PX8" s="156"/>
      <c r="PY8" s="156"/>
      <c r="PZ8" s="156"/>
      <c r="QA8" s="156"/>
      <c r="QB8" s="156"/>
      <c r="QC8" s="156"/>
      <c r="QD8" s="156"/>
      <c r="QE8" s="156"/>
      <c r="QF8" s="156"/>
      <c r="QG8" s="156"/>
      <c r="QH8" s="156"/>
      <c r="QI8" s="156"/>
      <c r="QJ8" s="156"/>
      <c r="QK8" s="156"/>
      <c r="QL8" s="156"/>
      <c r="QM8" s="156"/>
      <c r="QN8" s="156"/>
      <c r="QO8" s="156"/>
      <c r="QP8" s="156"/>
      <c r="QQ8" s="156"/>
      <c r="QR8" s="156"/>
      <c r="QS8" s="156"/>
      <c r="QT8" s="156"/>
    </row>
    <row r="9" spans="1:462">
      <c r="A9" s="58" t="s">
        <v>78</v>
      </c>
      <c r="C9" s="757">
        <f>'[3]segmenty prez'!$G$9*1000</f>
        <v>775000</v>
      </c>
      <c r="D9" s="757">
        <f>'[3]segmenty prez'!$G$19*1000</f>
        <v>224000</v>
      </c>
      <c r="E9" s="757">
        <f>'[3]segmenty prez'!$G$15*1000</f>
        <v>72000</v>
      </c>
      <c r="F9" s="757">
        <f>'[3]segmenty prez'!$G$28*1000</f>
        <v>2132000</v>
      </c>
      <c r="H9" s="757">
        <f>'[3]segmenty 3 m-ce PREZ'!$G$9*1000</f>
        <v>392000</v>
      </c>
      <c r="I9" s="757">
        <f>'[3]segmenty 3 m-ce PREZ'!$G$19*1000</f>
        <v>128000</v>
      </c>
      <c r="J9" s="757">
        <f>'[3]segmenty 3 m-ce PREZ'!$G$15*1000</f>
        <v>49000</v>
      </c>
      <c r="K9" s="757">
        <f t="shared" si="13"/>
        <v>2132000</v>
      </c>
      <c r="M9" s="668">
        <f>('[4]segmenty prez'!$G$9)*1000</f>
        <v>383000</v>
      </c>
      <c r="N9" s="668">
        <f>('[4]segmenty prez'!$G$19)*1000</f>
        <v>96000</v>
      </c>
      <c r="O9" s="668">
        <f>('[4]segmenty prez'!$G$15)*1000</f>
        <v>23000</v>
      </c>
      <c r="P9" s="668">
        <f>('[4]segmenty prez'!$G$28)*1000</f>
        <v>2068000</v>
      </c>
      <c r="R9" s="668">
        <f>[5]segmenty!$G$9*1000</f>
        <v>1496000</v>
      </c>
      <c r="S9" s="668">
        <f>[5]segmenty!$G$36*1000</f>
        <v>406000</v>
      </c>
      <c r="T9" s="668">
        <f>[5]segmenty!$G$33*1000</f>
        <v>140000</v>
      </c>
      <c r="U9" s="668">
        <f>[5]segmenty!$G$27*1000</f>
        <v>1929000</v>
      </c>
      <c r="W9" s="668">
        <f t="shared" si="14"/>
        <v>390000</v>
      </c>
      <c r="X9" s="668">
        <f t="shared" si="14"/>
        <v>74000</v>
      </c>
      <c r="Y9" s="668">
        <f t="shared" si="14"/>
        <v>7000</v>
      </c>
      <c r="Z9" s="668">
        <f t="shared" si="15"/>
        <v>1929000</v>
      </c>
      <c r="AB9" s="668">
        <f>'[6]segmenty prez'!$G$9*1000</f>
        <v>1106000</v>
      </c>
      <c r="AC9" s="668">
        <f>'[6]segmenty prez'!$G$16*1000</f>
        <v>332000</v>
      </c>
      <c r="AD9" s="668">
        <f>'[6]segmenty prez'!$G$12*1000</f>
        <v>133000</v>
      </c>
      <c r="AE9" s="668">
        <f>'[6]segmenty prez'!$G$25*1000</f>
        <v>1936000</v>
      </c>
      <c r="AG9" s="668">
        <f>([6]segmenty!$G$9)*1000</f>
        <v>1106000</v>
      </c>
      <c r="AH9" s="668">
        <f>([6]segmenty!$G$34)*1000</f>
        <v>332000</v>
      </c>
      <c r="AI9" s="668">
        <f>([6]segmenty!$G$31)*1000</f>
        <v>133000</v>
      </c>
      <c r="AJ9" s="668">
        <f>[6]segmenty!$G$25*1000</f>
        <v>1936000</v>
      </c>
      <c r="AL9" s="668">
        <f>'[7]segmenty prez'!$G$9*1000</f>
        <v>739000</v>
      </c>
      <c r="AM9" s="668">
        <f>'[7]segmenty prez'!$G$16*1000</f>
        <v>223000</v>
      </c>
      <c r="AN9" s="668">
        <f>'[7]segmenty prez'!$G$12*1000</f>
        <v>94000</v>
      </c>
      <c r="AO9" s="668">
        <f>'[7]segmenty prez'!$G$25*1000</f>
        <v>1890000</v>
      </c>
      <c r="AQ9" s="668">
        <f>'[7]segmenty 3 m-ce PREZ'!$G$9*1000</f>
        <v>370000</v>
      </c>
      <c r="AR9" s="668">
        <f>'[7]segmenty 3 m-ce PREZ'!$G$16*1000</f>
        <v>121000</v>
      </c>
      <c r="AS9" s="668">
        <f>'[7]segmenty 3 m-ce PREZ'!$G$12*1000</f>
        <v>56000</v>
      </c>
      <c r="AT9" s="668">
        <f t="shared" si="16"/>
        <v>1890000</v>
      </c>
      <c r="AV9" s="668">
        <f>([8]segmenty!$G$9)*1000</f>
        <v>369000</v>
      </c>
      <c r="AW9" s="668">
        <f>([8]segmenty!$G$34)*1000</f>
        <v>102000</v>
      </c>
      <c r="AX9" s="668">
        <f>([8]segmenty!$G$31)*1000</f>
        <v>38000</v>
      </c>
      <c r="AY9" s="668">
        <f>([8]segmenty!$G$25)*1000</f>
        <v>1889000</v>
      </c>
      <c r="BA9" s="668">
        <f>[9]segmenty!$G$9*1000</f>
        <v>1215000</v>
      </c>
      <c r="BB9" s="668">
        <f>[9]segmenty!$G$34*1000</f>
        <v>359000</v>
      </c>
      <c r="BC9" s="668">
        <f>[9]segmenty!$G$31*1000</f>
        <v>118000</v>
      </c>
      <c r="BD9" s="668">
        <f>[9]segmenty!$G$25*1000</f>
        <v>1210000</v>
      </c>
      <c r="BF9" s="668">
        <f t="shared" si="27"/>
        <v>278000</v>
      </c>
      <c r="BG9" s="668">
        <f t="shared" si="17"/>
        <v>45000</v>
      </c>
      <c r="BH9" s="668">
        <f t="shared" si="17"/>
        <v>-28000</v>
      </c>
      <c r="BI9" s="668">
        <f t="shared" si="18"/>
        <v>1210000</v>
      </c>
      <c r="BK9" s="668">
        <f>([10]segmenty!$G$9)*1000</f>
        <v>937000</v>
      </c>
      <c r="BL9" s="668">
        <f>([10]segmenty!$G$34)*1000</f>
        <v>314000</v>
      </c>
      <c r="BM9" s="668">
        <f>([10]segmenty!$G$31)*1000</f>
        <v>146000</v>
      </c>
      <c r="BN9" s="668">
        <f>([10]segmenty!$G$25)*1000</f>
        <v>1265000</v>
      </c>
      <c r="BP9" s="668">
        <f>('[6]segmenty 3 m-ce PREZ'!$G$9)*1000</f>
        <v>367000</v>
      </c>
      <c r="BQ9" s="668">
        <f>('[6]segmenty 3 m-ce PREZ'!$G$16)*1000</f>
        <v>109000</v>
      </c>
      <c r="BR9" s="668">
        <f>('[6]segmenty 3 m-ce PREZ'!$G$12)*1000</f>
        <v>39000</v>
      </c>
      <c r="BS9" s="668">
        <f t="shared" si="19"/>
        <v>1265000</v>
      </c>
      <c r="BU9" s="668">
        <v>628000</v>
      </c>
      <c r="BV9" s="668">
        <v>214000</v>
      </c>
      <c r="BW9" s="668">
        <v>103000</v>
      </c>
      <c r="BX9" s="668">
        <v>1264000</v>
      </c>
      <c r="BZ9" s="668">
        <v>308000</v>
      </c>
      <c r="CA9" s="668">
        <v>113000</v>
      </c>
      <c r="CB9" s="668">
        <v>60000</v>
      </c>
      <c r="CC9" s="668">
        <f t="shared" si="20"/>
        <v>1264000</v>
      </c>
      <c r="CE9" s="668">
        <v>372000</v>
      </c>
      <c r="CF9" s="668">
        <f>[11]segmenty!$F$34*1000+3000</f>
        <v>113000</v>
      </c>
      <c r="CG9" s="668">
        <f>[11]segmenty!$F$31*1000-10000</f>
        <v>43000</v>
      </c>
      <c r="CH9" s="668">
        <f>[11]segmenty!$F$25*1000</f>
        <v>1296000</v>
      </c>
      <c r="CJ9" s="668">
        <f>([12]segmenty!$F$9)*1000</f>
        <v>1542000</v>
      </c>
      <c r="CK9" s="668">
        <f>([12]segmenty!$F$34)*1000</f>
        <v>273000</v>
      </c>
      <c r="CL9" s="668">
        <f>([12]segmenty!$F$31)*1000</f>
        <v>96000</v>
      </c>
      <c r="CM9" s="668">
        <f>([12]segmenty!$F$25)*1000</f>
        <v>1317000</v>
      </c>
      <c r="CO9" s="668">
        <f t="shared" si="21"/>
        <v>460000</v>
      </c>
      <c r="CP9" s="668">
        <f t="shared" si="21"/>
        <v>105000</v>
      </c>
      <c r="CQ9" s="668">
        <f t="shared" si="21"/>
        <v>59000</v>
      </c>
      <c r="CR9" s="668">
        <f t="shared" si="22"/>
        <v>1317000</v>
      </c>
      <c r="CT9" s="668">
        <f>([13]segmenty!$F$9)*1000</f>
        <v>1082000</v>
      </c>
      <c r="CU9" s="668">
        <f>([13]segmenty!$F$34)*1000</f>
        <v>168000</v>
      </c>
      <c r="CV9" s="668">
        <f>([13]segmenty!$F$31)*1000</f>
        <v>37000</v>
      </c>
      <c r="CW9" s="668">
        <f>([13]segmenty!$F$25)*1000</f>
        <v>1130000</v>
      </c>
      <c r="CY9" s="668">
        <f>('[13]segmenty 3 m-ce PREZ'!$F$9)*1000</f>
        <v>357000</v>
      </c>
      <c r="CZ9" s="668">
        <f>('[13]segmenty 3 m-ce PREZ'!$F$16)*1000</f>
        <v>53000</v>
      </c>
      <c r="DA9" s="668">
        <f>('[13]segmenty 3 m-ce PREZ'!$F$12)*1000</f>
        <v>7000</v>
      </c>
      <c r="DB9" s="668">
        <f t="shared" si="23"/>
        <v>1130000</v>
      </c>
      <c r="DD9" s="668">
        <f>[14]segmenty!$F$9*1000</f>
        <v>725000</v>
      </c>
      <c r="DE9" s="668">
        <f>[14]segmenty!$F$34*1000</f>
        <v>115000</v>
      </c>
      <c r="DF9" s="668">
        <f>[14]segmenty!$F$31*1000</f>
        <v>30000</v>
      </c>
      <c r="DG9" s="668">
        <f>[14]segmenty!$F$25*1000</f>
        <v>1147000</v>
      </c>
      <c r="DI9" s="668">
        <f>('[14]segmenty 3 m-ce'!$F$69)*1000</f>
        <v>339000</v>
      </c>
      <c r="DJ9" s="668">
        <f>('[14]segmenty 3 m-ce'!$F$84)*1000</f>
        <v>45000</v>
      </c>
      <c r="DK9" s="668">
        <f>('[14]segmenty 3 m-ce'!$F$81)*1000</f>
        <v>3000</v>
      </c>
      <c r="DL9" s="668">
        <f t="shared" si="24"/>
        <v>1147000</v>
      </c>
      <c r="DN9" s="668">
        <f>[15]segmenty!$F$9*1000</f>
        <v>386000</v>
      </c>
      <c r="DO9" s="668">
        <f>[15]segmenty!$F$34*1000</f>
        <v>70000</v>
      </c>
      <c r="DP9" s="668">
        <f>[15]segmenty!$F$31*1000</f>
        <v>27000</v>
      </c>
      <c r="DQ9" s="668">
        <f>[15]segmenty!$F$25*1000</f>
        <v>1144000</v>
      </c>
      <c r="DS9" s="668">
        <f t="shared" si="25"/>
        <v>373000</v>
      </c>
      <c r="DT9" s="668">
        <f t="shared" si="25"/>
        <v>129000</v>
      </c>
      <c r="DU9" s="668">
        <f t="shared" si="25"/>
        <v>92000</v>
      </c>
      <c r="DV9" s="668">
        <f t="shared" si="26"/>
        <v>1156000</v>
      </c>
      <c r="DX9" s="668">
        <v>1428000</v>
      </c>
      <c r="DY9" s="668">
        <v>298000</v>
      </c>
      <c r="DZ9" s="668">
        <v>163000</v>
      </c>
      <c r="EA9" s="668">
        <v>1156000</v>
      </c>
      <c r="EC9" s="461">
        <v>350000</v>
      </c>
      <c r="ED9" s="461">
        <v>44000</v>
      </c>
      <c r="EE9" s="461">
        <v>12000</v>
      </c>
      <c r="EF9" s="461">
        <f t="shared" si="0"/>
        <v>1021000</v>
      </c>
      <c r="EH9" s="461">
        <v>1055000</v>
      </c>
      <c r="EI9" s="461">
        <v>169000</v>
      </c>
      <c r="EJ9" s="461">
        <v>71000</v>
      </c>
      <c r="EK9" s="461">
        <v>1021000</v>
      </c>
      <c r="EM9" s="461">
        <f t="shared" si="1"/>
        <v>346000</v>
      </c>
      <c r="EN9" s="461">
        <f t="shared" si="1"/>
        <v>65000</v>
      </c>
      <c r="EO9" s="461">
        <f t="shared" si="1"/>
        <v>30000</v>
      </c>
      <c r="EP9" s="461">
        <v>1023000</v>
      </c>
      <c r="ER9" s="461">
        <v>705000</v>
      </c>
      <c r="ES9" s="461">
        <v>125000</v>
      </c>
      <c r="ET9" s="461">
        <v>59000</v>
      </c>
      <c r="EU9" s="461">
        <v>1023000</v>
      </c>
      <c r="EW9" s="461">
        <v>359000</v>
      </c>
      <c r="EX9" s="461">
        <v>60000</v>
      </c>
      <c r="EY9" s="461">
        <v>29000</v>
      </c>
      <c r="EZ9" s="461">
        <v>895000</v>
      </c>
      <c r="FB9" s="461">
        <f t="shared" si="2"/>
        <v>337835</v>
      </c>
      <c r="FC9" s="461">
        <f t="shared" si="2"/>
        <v>57813</v>
      </c>
      <c r="FD9" s="461">
        <f t="shared" si="2"/>
        <v>23662</v>
      </c>
      <c r="FE9" s="461">
        <f t="shared" si="3"/>
        <v>891000</v>
      </c>
      <c r="FG9" s="461">
        <v>1177000</v>
      </c>
      <c r="FH9" s="461">
        <v>208000</v>
      </c>
      <c r="FI9" s="461">
        <v>92000</v>
      </c>
      <c r="FJ9" s="461">
        <v>891000</v>
      </c>
      <c r="FL9" s="461">
        <f t="shared" si="4"/>
        <v>279664</v>
      </c>
      <c r="FM9" s="461">
        <f t="shared" si="4"/>
        <v>44509</v>
      </c>
      <c r="FN9" s="461">
        <f t="shared" si="4"/>
        <v>15730</v>
      </c>
      <c r="FO9" s="461">
        <f t="shared" si="5"/>
        <v>814436</v>
      </c>
      <c r="FQ9" s="461">
        <v>839165</v>
      </c>
      <c r="FR9" s="461">
        <v>150187</v>
      </c>
      <c r="FS9" s="461">
        <v>68338</v>
      </c>
      <c r="FT9" s="461">
        <v>814436</v>
      </c>
      <c r="FV9" s="461">
        <f t="shared" si="6"/>
        <v>272593</v>
      </c>
      <c r="FW9" s="461">
        <f t="shared" si="6"/>
        <v>55913</v>
      </c>
      <c r="FX9" s="461">
        <f t="shared" si="6"/>
        <v>28579</v>
      </c>
      <c r="FY9" s="461">
        <f t="shared" si="7"/>
        <v>799896</v>
      </c>
      <c r="GA9" s="461">
        <v>559501</v>
      </c>
      <c r="GB9" s="461">
        <v>105678</v>
      </c>
      <c r="GC9" s="461">
        <v>52608</v>
      </c>
      <c r="GD9" s="461">
        <v>799896</v>
      </c>
      <c r="GF9" s="461">
        <v>286908</v>
      </c>
      <c r="GG9" s="461">
        <v>49765</v>
      </c>
      <c r="GH9" s="461">
        <v>24029</v>
      </c>
      <c r="GI9" s="461">
        <v>813988</v>
      </c>
      <c r="GK9" s="461">
        <f t="shared" si="8"/>
        <v>292450</v>
      </c>
      <c r="GL9" s="461">
        <f t="shared" si="8"/>
        <v>17861</v>
      </c>
      <c r="GM9" s="461">
        <f t="shared" si="8"/>
        <v>-6467</v>
      </c>
      <c r="GN9" s="461">
        <f t="shared" si="9"/>
        <v>775856</v>
      </c>
      <c r="GP9" s="461">
        <v>1114492</v>
      </c>
      <c r="GQ9" s="461">
        <v>229305</v>
      </c>
      <c r="GR9" s="461">
        <v>136169</v>
      </c>
      <c r="GS9" s="461">
        <v>775856</v>
      </c>
      <c r="GU9" s="461">
        <v>286091</v>
      </c>
      <c r="GV9" s="461">
        <v>49065</v>
      </c>
      <c r="GW9" s="461">
        <v>24446</v>
      </c>
      <c r="GX9" s="461">
        <f t="shared" si="10"/>
        <v>668133</v>
      </c>
      <c r="GZ9" s="461">
        <v>822042</v>
      </c>
      <c r="HA9" s="461">
        <v>211444</v>
      </c>
      <c r="HB9" s="461">
        <v>142636</v>
      </c>
      <c r="HC9" s="461">
        <v>668133</v>
      </c>
      <c r="HE9" s="461">
        <f t="shared" si="11"/>
        <v>273482</v>
      </c>
      <c r="HF9" s="462">
        <f t="shared" si="11"/>
        <v>123599</v>
      </c>
      <c r="HG9" s="461">
        <f t="shared" si="11"/>
        <v>100460</v>
      </c>
      <c r="HH9" s="461">
        <v>643602</v>
      </c>
      <c r="HJ9" s="461">
        <v>535951</v>
      </c>
      <c r="HK9" s="462">
        <v>162379</v>
      </c>
      <c r="HL9" s="461">
        <v>118190</v>
      </c>
      <c r="HM9" s="461">
        <v>643602</v>
      </c>
      <c r="HO9" s="461">
        <v>262469</v>
      </c>
      <c r="HP9" s="462">
        <v>38780</v>
      </c>
      <c r="HQ9" s="461">
        <v>17730</v>
      </c>
      <c r="HR9" s="461">
        <v>645685</v>
      </c>
      <c r="HS9" s="5"/>
      <c r="HT9" s="339">
        <v>979911</v>
      </c>
      <c r="HU9" s="340">
        <v>136186</v>
      </c>
      <c r="HV9" s="339">
        <v>46152</v>
      </c>
      <c r="HW9" s="339">
        <v>648705</v>
      </c>
      <c r="HY9" s="339">
        <v>247939</v>
      </c>
      <c r="HZ9" s="340">
        <v>8695</v>
      </c>
      <c r="IA9" s="339">
        <v>-13448</v>
      </c>
      <c r="IB9" s="339">
        <v>648705</v>
      </c>
      <c r="ID9" s="339">
        <v>731972</v>
      </c>
      <c r="IE9" s="340">
        <v>127491</v>
      </c>
      <c r="IF9" s="339">
        <v>59600</v>
      </c>
      <c r="IG9" s="339">
        <v>570462</v>
      </c>
      <c r="II9" s="339">
        <v>249043</v>
      </c>
      <c r="IJ9" s="340">
        <v>43029</v>
      </c>
      <c r="IK9" s="339">
        <v>20235</v>
      </c>
      <c r="IL9" s="339">
        <v>570462</v>
      </c>
      <c r="IO9" s="339">
        <v>482929</v>
      </c>
      <c r="IP9" s="340">
        <v>84462</v>
      </c>
      <c r="IQ9" s="339">
        <v>39365</v>
      </c>
      <c r="IR9" s="339">
        <v>583361</v>
      </c>
      <c r="IT9" s="339">
        <v>234413</v>
      </c>
      <c r="IU9" s="340">
        <v>40018</v>
      </c>
      <c r="IV9" s="339">
        <v>17339</v>
      </c>
      <c r="IW9" s="339">
        <v>583361</v>
      </c>
      <c r="IY9" s="339">
        <v>248516</v>
      </c>
      <c r="IZ9" s="340">
        <v>44444</v>
      </c>
      <c r="JA9" s="339">
        <v>22026</v>
      </c>
      <c r="JB9" s="339">
        <v>599593</v>
      </c>
      <c r="JD9" s="339">
        <v>857462</v>
      </c>
      <c r="JE9" s="339">
        <v>134793</v>
      </c>
      <c r="JF9" s="339">
        <v>46023</v>
      </c>
      <c r="JG9" s="339">
        <v>581497</v>
      </c>
      <c r="JI9" s="339">
        <v>240979</v>
      </c>
      <c r="JJ9" s="340">
        <v>4545</v>
      </c>
      <c r="JK9" s="339">
        <v>-16871</v>
      </c>
      <c r="JL9" s="339">
        <v>581497</v>
      </c>
      <c r="JN9" s="339">
        <v>616483</v>
      </c>
      <c r="JO9" s="340">
        <v>130248</v>
      </c>
      <c r="JP9" s="339">
        <v>62894</v>
      </c>
      <c r="JQ9" s="339">
        <v>501583</v>
      </c>
      <c r="JS9" s="339">
        <v>201877</v>
      </c>
      <c r="JT9" s="340">
        <v>41536</v>
      </c>
      <c r="JU9" s="339">
        <v>18622</v>
      </c>
      <c r="JV9" s="339">
        <v>501583</v>
      </c>
      <c r="JX9" s="165">
        <v>414606</v>
      </c>
      <c r="JY9" s="317">
        <v>88712</v>
      </c>
      <c r="JZ9" s="165">
        <v>44272</v>
      </c>
      <c r="KA9" s="165">
        <v>511896</v>
      </c>
      <c r="KC9" s="165">
        <v>219053</v>
      </c>
      <c r="KD9" s="317">
        <v>49009</v>
      </c>
      <c r="KE9" s="165">
        <v>25412</v>
      </c>
      <c r="KF9" s="165">
        <v>511896</v>
      </c>
      <c r="KH9" s="155">
        <v>195553</v>
      </c>
      <c r="KI9" s="182">
        <v>39703</v>
      </c>
      <c r="KJ9" s="155">
        <v>18860</v>
      </c>
      <c r="KK9" s="155">
        <v>507173</v>
      </c>
      <c r="KM9" s="155">
        <v>804560</v>
      </c>
      <c r="KN9" s="155">
        <v>118043</v>
      </c>
      <c r="KO9" s="155">
        <v>35902</v>
      </c>
      <c r="KP9" s="155">
        <v>508825</v>
      </c>
      <c r="KR9" s="155">
        <v>206198</v>
      </c>
      <c r="KS9" s="182">
        <v>3431</v>
      </c>
      <c r="KT9" s="155">
        <v>-19915</v>
      </c>
      <c r="KU9" s="155">
        <v>508825</v>
      </c>
      <c r="KV9" s="156"/>
      <c r="KW9" s="155">
        <v>598362</v>
      </c>
      <c r="KX9" s="155">
        <v>114612</v>
      </c>
      <c r="KY9" s="155">
        <v>55817</v>
      </c>
      <c r="KZ9" s="155">
        <v>455307</v>
      </c>
      <c r="LA9" s="155"/>
      <c r="LB9" s="155">
        <v>205774</v>
      </c>
      <c r="LC9" s="155">
        <v>37977</v>
      </c>
      <c r="LD9" s="155">
        <v>17870</v>
      </c>
      <c r="LE9" s="155">
        <v>455307</v>
      </c>
      <c r="LF9" s="156"/>
      <c r="LG9" s="155">
        <v>392588</v>
      </c>
      <c r="LH9" s="155">
        <v>76635</v>
      </c>
      <c r="LI9" s="155">
        <v>37947</v>
      </c>
      <c r="LJ9" s="155">
        <v>445341</v>
      </c>
      <c r="LK9" s="156"/>
      <c r="LL9" s="155">
        <f t="shared" si="12"/>
        <v>197807</v>
      </c>
      <c r="LM9" s="155">
        <f t="shared" si="12"/>
        <v>40909</v>
      </c>
      <c r="LN9" s="155">
        <f t="shared" si="12"/>
        <v>21212</v>
      </c>
      <c r="LO9" s="155">
        <f>LT9</f>
        <v>461173</v>
      </c>
      <c r="LP9" s="156"/>
      <c r="LQ9" s="155">
        <v>194781</v>
      </c>
      <c r="LR9" s="155">
        <v>35726</v>
      </c>
      <c r="LS9" s="155">
        <v>16735</v>
      </c>
      <c r="LT9" s="155">
        <v>461173</v>
      </c>
      <c r="LU9" s="156"/>
      <c r="LV9" s="155">
        <v>827928</v>
      </c>
      <c r="LW9" s="155">
        <v>114570</v>
      </c>
      <c r="LX9" s="155">
        <v>42642</v>
      </c>
      <c r="LY9" s="155">
        <v>468202</v>
      </c>
      <c r="LZ9" s="156"/>
      <c r="MA9" s="155">
        <v>211032</v>
      </c>
      <c r="MB9" s="155">
        <v>12302</v>
      </c>
      <c r="MC9" s="155">
        <v>-5504</v>
      </c>
      <c r="MD9" s="155">
        <v>468202</v>
      </c>
      <c r="ME9" s="156"/>
      <c r="MF9" s="155">
        <v>616896</v>
      </c>
      <c r="MG9" s="155">
        <v>102268</v>
      </c>
      <c r="MH9" s="155">
        <v>48146</v>
      </c>
      <c r="MI9" s="155">
        <v>433699</v>
      </c>
      <c r="MJ9" s="156"/>
      <c r="MK9" s="155">
        <v>188053</v>
      </c>
      <c r="ML9" s="155">
        <v>36232</v>
      </c>
      <c r="MM9" s="155">
        <v>18324</v>
      </c>
      <c r="MN9" s="155">
        <v>433699</v>
      </c>
      <c r="MO9" s="156"/>
      <c r="MP9" s="155">
        <v>428843</v>
      </c>
      <c r="MQ9" s="155">
        <v>66036</v>
      </c>
      <c r="MR9" s="155">
        <v>29822</v>
      </c>
      <c r="MS9" s="155">
        <v>443449</v>
      </c>
      <c r="MT9" s="156"/>
      <c r="MU9" s="155">
        <v>211401</v>
      </c>
      <c r="MV9" s="155">
        <v>35550</v>
      </c>
      <c r="MW9" s="155">
        <v>17383</v>
      </c>
      <c r="MX9" s="155">
        <v>443449</v>
      </c>
      <c r="MY9" s="156"/>
      <c r="MZ9" s="155">
        <v>217442</v>
      </c>
      <c r="NA9" s="155">
        <v>30486</v>
      </c>
      <c r="NB9" s="155">
        <v>12439</v>
      </c>
      <c r="NC9" s="155">
        <v>460262</v>
      </c>
      <c r="ND9" s="156"/>
      <c r="NE9" s="155">
        <v>927953</v>
      </c>
      <c r="NF9" s="155">
        <v>100320</v>
      </c>
      <c r="NG9" s="155">
        <v>32596</v>
      </c>
      <c r="NH9" s="155">
        <v>478618</v>
      </c>
      <c r="NI9" s="162"/>
      <c r="NJ9" s="155">
        <v>225159</v>
      </c>
      <c r="NK9" s="155">
        <v>2137</v>
      </c>
      <c r="NL9" s="155">
        <v>-15376</v>
      </c>
      <c r="NM9" s="155">
        <v>478618</v>
      </c>
      <c r="NN9" s="162"/>
      <c r="NO9" s="155">
        <v>702794</v>
      </c>
      <c r="NP9" s="155">
        <v>98183</v>
      </c>
      <c r="NQ9" s="155">
        <v>47972</v>
      </c>
      <c r="NR9" s="155">
        <v>438649</v>
      </c>
      <c r="NS9" s="156"/>
      <c r="NT9" s="155">
        <v>199648</v>
      </c>
      <c r="NU9" s="155">
        <v>37188</v>
      </c>
      <c r="NV9" s="155">
        <v>20076</v>
      </c>
      <c r="NW9" s="155">
        <v>438649</v>
      </c>
      <c r="NX9" s="156"/>
      <c r="NY9" s="155">
        <v>503146</v>
      </c>
      <c r="NZ9" s="155">
        <v>60856</v>
      </c>
      <c r="OA9" s="155">
        <v>27896</v>
      </c>
      <c r="OB9" s="155">
        <v>448459</v>
      </c>
      <c r="OC9" s="156"/>
      <c r="OD9" s="155">
        <v>239006</v>
      </c>
      <c r="OE9" s="155">
        <v>17517</v>
      </c>
      <c r="OF9" s="155">
        <v>789</v>
      </c>
      <c r="OG9" s="155">
        <v>448459</v>
      </c>
      <c r="OH9" s="156"/>
      <c r="OI9" s="155">
        <v>264140</v>
      </c>
      <c r="OJ9" s="155">
        <v>43339</v>
      </c>
      <c r="OK9" s="155">
        <v>27107</v>
      </c>
      <c r="OL9" s="155">
        <v>484742</v>
      </c>
      <c r="OM9" s="156"/>
      <c r="ON9" s="162" t="s">
        <v>83</v>
      </c>
      <c r="OO9" s="155">
        <v>6074646</v>
      </c>
      <c r="OP9" s="155">
        <v>2157136</v>
      </c>
      <c r="OQ9" s="155">
        <v>1209344</v>
      </c>
      <c r="OR9" s="155">
        <v>15012125</v>
      </c>
      <c r="OS9" s="156"/>
      <c r="OT9" s="155">
        <v>4528811</v>
      </c>
      <c r="OU9" s="155">
        <v>1777840</v>
      </c>
      <c r="OV9" s="155">
        <v>1070837</v>
      </c>
      <c r="OW9" s="155">
        <v>14581007</v>
      </c>
      <c r="OX9" s="156"/>
      <c r="OY9" s="155">
        <v>3048951</v>
      </c>
      <c r="OZ9" s="155">
        <v>1169688</v>
      </c>
      <c r="PA9" s="155">
        <v>700012</v>
      </c>
      <c r="PB9" s="155">
        <v>14377042</v>
      </c>
      <c r="PC9" s="156"/>
      <c r="PD9" s="156"/>
      <c r="PE9" s="156"/>
      <c r="PF9" s="156"/>
      <c r="PG9" s="156"/>
      <c r="PH9" s="156"/>
      <c r="PI9" s="156"/>
      <c r="PJ9" s="156"/>
      <c r="PK9" s="156"/>
      <c r="PL9" s="156"/>
      <c r="PM9" s="156"/>
      <c r="PN9" s="156"/>
      <c r="PO9" s="156"/>
      <c r="PP9" s="156"/>
      <c r="PQ9" s="156"/>
      <c r="PR9" s="156"/>
      <c r="PS9" s="156"/>
      <c r="PT9" s="156"/>
      <c r="PU9" s="156"/>
      <c r="PV9" s="156"/>
      <c r="PW9" s="156"/>
      <c r="PX9" s="156"/>
      <c r="PY9" s="156"/>
      <c r="PZ9" s="156"/>
      <c r="QA9" s="156"/>
      <c r="QB9" s="156"/>
      <c r="QC9" s="156"/>
      <c r="QD9" s="156"/>
      <c r="QE9" s="156"/>
      <c r="QF9" s="156"/>
      <c r="QG9" s="156"/>
      <c r="QH9" s="156"/>
      <c r="QI9" s="156"/>
      <c r="QJ9" s="156"/>
      <c r="QK9" s="156"/>
      <c r="QL9" s="156"/>
      <c r="QM9" s="156"/>
      <c r="QN9" s="156"/>
      <c r="QO9" s="156"/>
      <c r="QP9" s="156"/>
      <c r="QQ9" s="156"/>
      <c r="QR9" s="156"/>
      <c r="QS9" s="156"/>
      <c r="QT9" s="156"/>
    </row>
    <row r="10" spans="1:462">
      <c r="A10" s="58" t="s">
        <v>948</v>
      </c>
      <c r="C10" s="757"/>
      <c r="D10" s="757"/>
      <c r="E10" s="757"/>
      <c r="F10" s="757"/>
      <c r="H10" s="757"/>
      <c r="I10" s="757"/>
      <c r="J10" s="757"/>
      <c r="K10" s="757"/>
      <c r="M10" s="668">
        <v>0</v>
      </c>
      <c r="N10" s="668">
        <v>0</v>
      </c>
      <c r="O10" s="668">
        <v>0</v>
      </c>
      <c r="P10" s="668">
        <v>0</v>
      </c>
      <c r="R10" s="668"/>
      <c r="S10" s="668"/>
      <c r="T10" s="668"/>
      <c r="U10" s="668"/>
      <c r="W10" s="668"/>
      <c r="X10" s="668"/>
      <c r="Y10" s="668"/>
      <c r="Z10" s="668"/>
      <c r="AB10" s="668"/>
      <c r="AC10" s="668"/>
      <c r="AD10" s="668"/>
      <c r="AE10" s="668"/>
      <c r="AG10" s="668">
        <v>0</v>
      </c>
      <c r="AH10" s="668">
        <v>0</v>
      </c>
      <c r="AI10" s="668">
        <v>0</v>
      </c>
      <c r="AJ10" s="668"/>
      <c r="AL10" s="668"/>
      <c r="AM10" s="668"/>
      <c r="AN10" s="668"/>
      <c r="AO10" s="668"/>
      <c r="AQ10" s="668"/>
      <c r="AR10" s="668"/>
      <c r="AS10" s="668"/>
      <c r="AT10" s="668"/>
      <c r="AV10" s="668"/>
      <c r="AW10" s="668"/>
      <c r="AX10" s="668"/>
      <c r="AY10" s="668"/>
      <c r="BA10" s="668"/>
      <c r="BB10" s="668"/>
      <c r="BC10" s="668"/>
      <c r="BF10" s="668">
        <f t="shared" si="27"/>
        <v>0</v>
      </c>
      <c r="BG10" s="668"/>
      <c r="BH10" s="668"/>
      <c r="BI10" s="668"/>
      <c r="BK10" s="668"/>
      <c r="BL10" s="668"/>
      <c r="BM10" s="668"/>
      <c r="BN10" s="668"/>
      <c r="BP10" s="668">
        <v>0</v>
      </c>
      <c r="BQ10" s="668">
        <v>0</v>
      </c>
      <c r="BR10" s="668">
        <v>0</v>
      </c>
      <c r="BS10" s="668"/>
      <c r="BU10" s="668"/>
      <c r="BV10" s="668"/>
      <c r="BW10" s="668"/>
      <c r="BX10" s="668"/>
      <c r="BZ10" s="668"/>
      <c r="CA10" s="668"/>
      <c r="CB10" s="668"/>
      <c r="CC10" s="668"/>
      <c r="CE10" s="668"/>
      <c r="CF10" s="668"/>
      <c r="CG10" s="668"/>
      <c r="CH10" s="668"/>
      <c r="CJ10" s="668"/>
      <c r="CK10" s="668"/>
      <c r="CL10" s="668"/>
      <c r="CM10" s="668"/>
      <c r="CO10" s="668"/>
      <c r="CP10" s="668"/>
      <c r="CQ10" s="668"/>
      <c r="CR10" s="668"/>
      <c r="CT10" s="668"/>
      <c r="CU10" s="668"/>
      <c r="CV10" s="668"/>
      <c r="CW10" s="668"/>
      <c r="CY10" s="668"/>
      <c r="CZ10" s="668"/>
      <c r="DA10" s="668"/>
      <c r="DB10" s="668"/>
      <c r="DD10" s="668"/>
      <c r="DE10" s="668"/>
      <c r="DF10" s="668"/>
      <c r="DG10" s="668"/>
      <c r="DI10" s="668"/>
      <c r="DJ10" s="668"/>
      <c r="DK10" s="668"/>
      <c r="DL10" s="668"/>
      <c r="DN10" s="668"/>
      <c r="DO10" s="668"/>
      <c r="DP10" s="668"/>
      <c r="DQ10" s="668"/>
      <c r="DS10" s="668">
        <f>DX10-EH3</f>
        <v>-609000</v>
      </c>
      <c r="DT10" s="668">
        <f>DY10-EI3</f>
        <v>530000</v>
      </c>
      <c r="DU10" s="668">
        <f>DZ10-EJ3</f>
        <v>-7000</v>
      </c>
      <c r="DV10" s="668">
        <f t="shared" si="26"/>
        <v>0</v>
      </c>
      <c r="DX10" s="668">
        <v>1030000</v>
      </c>
      <c r="DY10" s="668">
        <v>801000</v>
      </c>
      <c r="DZ10" s="668">
        <v>50000</v>
      </c>
      <c r="EA10" s="668">
        <v>0</v>
      </c>
      <c r="EC10" s="461"/>
      <c r="ED10" s="461"/>
      <c r="EE10" s="461"/>
      <c r="EF10" s="461"/>
      <c r="EH10" s="461"/>
      <c r="EI10" s="461"/>
      <c r="EJ10" s="461"/>
      <c r="EK10" s="461"/>
      <c r="EM10" s="461"/>
      <c r="EN10" s="461"/>
      <c r="EO10" s="461"/>
      <c r="EP10" s="461"/>
      <c r="ER10" s="461"/>
      <c r="ES10" s="461"/>
      <c r="ET10" s="461"/>
      <c r="EU10" s="461"/>
      <c r="EW10" s="461"/>
      <c r="EX10" s="461"/>
      <c r="EY10" s="461"/>
      <c r="EZ10" s="461"/>
      <c r="FB10" s="461"/>
      <c r="FC10" s="461"/>
      <c r="FD10" s="461"/>
      <c r="FE10" s="461"/>
      <c r="FG10" s="461"/>
      <c r="FH10" s="461"/>
      <c r="FI10" s="461"/>
      <c r="FJ10" s="461"/>
      <c r="FL10" s="461"/>
      <c r="FM10" s="461"/>
      <c r="FN10" s="461"/>
      <c r="FO10" s="461"/>
      <c r="FQ10" s="461"/>
      <c r="FR10" s="461"/>
      <c r="FS10" s="461"/>
      <c r="FT10" s="461"/>
      <c r="FV10" s="461"/>
      <c r="FW10" s="461"/>
      <c r="FX10" s="461"/>
      <c r="FY10" s="461"/>
      <c r="GA10" s="461"/>
      <c r="GB10" s="461"/>
      <c r="GC10" s="461"/>
      <c r="GD10" s="461"/>
      <c r="GF10" s="461"/>
      <c r="GG10" s="461"/>
      <c r="GH10" s="461"/>
      <c r="GI10" s="461"/>
      <c r="GK10" s="461">
        <f t="shared" si="8"/>
        <v>138487</v>
      </c>
      <c r="GL10" s="461">
        <f t="shared" si="8"/>
        <v>79622</v>
      </c>
      <c r="GM10" s="461">
        <f t="shared" si="8"/>
        <v>76002</v>
      </c>
      <c r="GN10" s="461">
        <f t="shared" si="9"/>
        <v>1805956</v>
      </c>
      <c r="GP10" s="461">
        <v>482608</v>
      </c>
      <c r="GQ10" s="461">
        <v>171119</v>
      </c>
      <c r="GR10" s="461">
        <v>-717342</v>
      </c>
      <c r="GS10" s="461">
        <v>1805956</v>
      </c>
      <c r="GU10" s="461">
        <v>45360</v>
      </c>
      <c r="GV10" s="461">
        <v>-287</v>
      </c>
      <c r="GW10" s="461">
        <v>-15838</v>
      </c>
      <c r="GX10" s="461">
        <f t="shared" si="10"/>
        <v>1715232</v>
      </c>
      <c r="GZ10" s="461">
        <v>344121</v>
      </c>
      <c r="HA10" s="461">
        <v>91497</v>
      </c>
      <c r="HB10" s="461">
        <v>-793344</v>
      </c>
      <c r="HC10" s="461">
        <v>1715232</v>
      </c>
      <c r="HE10" s="461">
        <f t="shared" si="11"/>
        <v>96613</v>
      </c>
      <c r="HF10" s="462">
        <f t="shared" si="11"/>
        <v>15733</v>
      </c>
      <c r="HG10" s="461">
        <f t="shared" si="11"/>
        <v>-821890</v>
      </c>
      <c r="HH10" s="461">
        <v>1704516</v>
      </c>
      <c r="HJ10" s="461">
        <v>298761</v>
      </c>
      <c r="HK10" s="462">
        <v>91784</v>
      </c>
      <c r="HL10" s="461">
        <v>-777506</v>
      </c>
      <c r="HM10" s="461">
        <v>1704516</v>
      </c>
      <c r="HO10" s="461">
        <v>202148</v>
      </c>
      <c r="HP10" s="462">
        <v>76051</v>
      </c>
      <c r="HQ10" s="461">
        <v>44384</v>
      </c>
      <c r="HR10" s="461"/>
      <c r="HS10" s="5"/>
      <c r="HT10" s="339"/>
      <c r="HU10" s="340"/>
      <c r="HV10" s="339"/>
      <c r="HW10" s="339"/>
      <c r="HY10" s="339"/>
      <c r="HZ10" s="340"/>
      <c r="IA10" s="339"/>
      <c r="IB10" s="339"/>
      <c r="ID10" s="339"/>
      <c r="IE10" s="340"/>
      <c r="IF10" s="339"/>
      <c r="IG10" s="339"/>
      <c r="II10" s="339"/>
      <c r="IJ10" s="340"/>
      <c r="IK10" s="339"/>
      <c r="IL10" s="339"/>
      <c r="IO10" s="339"/>
      <c r="IP10" s="340"/>
      <c r="IQ10" s="339"/>
      <c r="IR10" s="339"/>
      <c r="IT10" s="339"/>
      <c r="IU10" s="340"/>
      <c r="IV10" s="339"/>
      <c r="IW10" s="339"/>
      <c r="IY10" s="339"/>
      <c r="IZ10" s="340"/>
      <c r="JA10" s="339"/>
      <c r="JB10" s="339"/>
      <c r="JD10" s="339"/>
      <c r="JE10" s="339"/>
      <c r="JF10" s="339"/>
      <c r="JG10" s="339"/>
      <c r="JI10" s="339"/>
      <c r="JJ10" s="340"/>
      <c r="JK10" s="339"/>
      <c r="JL10" s="339"/>
      <c r="JN10" s="339"/>
      <c r="JO10" s="340"/>
      <c r="JP10" s="339"/>
      <c r="JQ10" s="339"/>
      <c r="JS10" s="339"/>
      <c r="JT10" s="340"/>
      <c r="JU10" s="339"/>
      <c r="JV10" s="339"/>
      <c r="JX10" s="165"/>
      <c r="JY10" s="317"/>
      <c r="JZ10" s="165"/>
      <c r="KA10" s="165"/>
      <c r="KC10" s="165"/>
      <c r="KD10" s="317"/>
      <c r="KE10" s="165"/>
      <c r="KF10" s="165"/>
      <c r="KH10" s="155"/>
      <c r="KI10" s="182"/>
      <c r="KJ10" s="155"/>
      <c r="KK10" s="155"/>
      <c r="KM10" s="155"/>
      <c r="KN10" s="155"/>
      <c r="KO10" s="155"/>
      <c r="KP10" s="155"/>
      <c r="KR10" s="155"/>
      <c r="KS10" s="182"/>
      <c r="KT10" s="155"/>
      <c r="KU10" s="155"/>
      <c r="KV10" s="156"/>
      <c r="KW10" s="155"/>
      <c r="KX10" s="155"/>
      <c r="KY10" s="155"/>
      <c r="KZ10" s="155"/>
      <c r="LA10" s="155"/>
      <c r="LB10" s="155"/>
      <c r="LC10" s="155"/>
      <c r="LD10" s="155"/>
      <c r="LE10" s="155"/>
      <c r="LF10" s="156"/>
      <c r="LG10" s="155"/>
      <c r="LH10" s="155"/>
      <c r="LI10" s="155"/>
      <c r="LJ10" s="155"/>
      <c r="LK10" s="156"/>
      <c r="LL10" s="155"/>
      <c r="LM10" s="155"/>
      <c r="LN10" s="155"/>
      <c r="LO10" s="155"/>
      <c r="LP10" s="156"/>
      <c r="LQ10" s="155"/>
      <c r="LR10" s="155"/>
      <c r="LS10" s="155"/>
      <c r="LT10" s="155"/>
      <c r="LU10" s="156"/>
      <c r="LV10" s="155"/>
      <c r="LW10" s="155"/>
      <c r="LX10" s="155"/>
      <c r="LY10" s="155"/>
      <c r="LZ10" s="156"/>
      <c r="MA10" s="155"/>
      <c r="MB10" s="155"/>
      <c r="MC10" s="155"/>
      <c r="MD10" s="155"/>
      <c r="ME10" s="156"/>
      <c r="MF10" s="155"/>
      <c r="MG10" s="155"/>
      <c r="MH10" s="155"/>
      <c r="MI10" s="155"/>
      <c r="MJ10" s="156"/>
      <c r="MK10" s="155"/>
      <c r="ML10" s="155"/>
      <c r="MM10" s="155"/>
      <c r="MN10" s="155"/>
      <c r="MO10" s="156"/>
      <c r="MP10" s="155"/>
      <c r="MQ10" s="155"/>
      <c r="MR10" s="155"/>
      <c r="MS10" s="155"/>
      <c r="MT10" s="156"/>
      <c r="MU10" s="155"/>
      <c r="MV10" s="155"/>
      <c r="MW10" s="155"/>
      <c r="MX10" s="155"/>
      <c r="MY10" s="156"/>
      <c r="MZ10" s="155"/>
      <c r="NA10" s="155"/>
      <c r="NB10" s="155"/>
      <c r="NC10" s="155"/>
      <c r="ND10" s="156"/>
      <c r="NE10" s="155"/>
      <c r="NF10" s="155"/>
      <c r="NG10" s="155"/>
      <c r="NH10" s="155"/>
      <c r="NI10" s="162"/>
      <c r="NJ10" s="155"/>
      <c r="NK10" s="155"/>
      <c r="NL10" s="155"/>
      <c r="NM10" s="155"/>
      <c r="NN10" s="162"/>
      <c r="NO10" s="155"/>
      <c r="NP10" s="155"/>
      <c r="NQ10" s="155"/>
      <c r="NR10" s="155"/>
      <c r="NS10" s="156"/>
      <c r="NT10" s="155"/>
      <c r="NU10" s="155"/>
      <c r="NV10" s="155"/>
      <c r="NW10" s="155"/>
      <c r="NX10" s="156"/>
      <c r="NY10" s="155"/>
      <c r="NZ10" s="155"/>
      <c r="OA10" s="155"/>
      <c r="OB10" s="155"/>
      <c r="OC10" s="156"/>
      <c r="OD10" s="155"/>
      <c r="OE10" s="155"/>
      <c r="OF10" s="155"/>
      <c r="OG10" s="155"/>
      <c r="OH10" s="156"/>
      <c r="OI10" s="155"/>
      <c r="OJ10" s="155"/>
      <c r="OK10" s="155"/>
      <c r="OL10" s="155"/>
      <c r="OM10" s="156"/>
      <c r="ON10" s="162"/>
      <c r="OO10" s="155"/>
      <c r="OP10" s="155"/>
      <c r="OQ10" s="155"/>
      <c r="OR10" s="155"/>
      <c r="OS10" s="156"/>
      <c r="OT10" s="155"/>
      <c r="OU10" s="155"/>
      <c r="OV10" s="155"/>
      <c r="OW10" s="155"/>
      <c r="OX10" s="156"/>
      <c r="OY10" s="155"/>
      <c r="OZ10" s="155"/>
      <c r="PA10" s="155"/>
      <c r="PB10" s="155"/>
      <c r="PC10" s="156"/>
      <c r="PD10" s="156"/>
      <c r="PE10" s="156"/>
      <c r="PF10" s="156"/>
      <c r="PG10" s="156"/>
      <c r="PH10" s="156"/>
      <c r="PI10" s="156"/>
      <c r="PJ10" s="156"/>
      <c r="PK10" s="156"/>
      <c r="PL10" s="156"/>
      <c r="PM10" s="156"/>
      <c r="PN10" s="156"/>
      <c r="PO10" s="156"/>
      <c r="PP10" s="156"/>
      <c r="PQ10" s="156"/>
      <c r="PR10" s="156"/>
      <c r="PS10" s="156"/>
      <c r="PT10" s="156"/>
      <c r="PU10" s="156"/>
      <c r="PV10" s="156"/>
      <c r="PW10" s="156"/>
      <c r="PX10" s="156"/>
      <c r="PY10" s="156"/>
      <c r="PZ10" s="156"/>
      <c r="QA10" s="156"/>
      <c r="QB10" s="156"/>
      <c r="QC10" s="156"/>
      <c r="QD10" s="156"/>
      <c r="QE10" s="156"/>
      <c r="QF10" s="156"/>
      <c r="QG10" s="156"/>
      <c r="QH10" s="156"/>
      <c r="QI10" s="156"/>
      <c r="QJ10" s="156"/>
      <c r="QK10" s="156"/>
      <c r="QL10" s="156"/>
      <c r="QM10" s="156"/>
      <c r="QN10" s="156"/>
      <c r="QO10" s="156"/>
      <c r="QP10" s="156"/>
      <c r="QQ10" s="156"/>
      <c r="QR10" s="156"/>
      <c r="QS10" s="156"/>
      <c r="QT10" s="156"/>
    </row>
    <row r="11" spans="1:462">
      <c r="A11" s="305" t="s">
        <v>950</v>
      </c>
      <c r="C11" s="758">
        <f>'[3]segmenty prez'!$H$9*1000</f>
        <v>-6371000</v>
      </c>
      <c r="D11" s="758">
        <f>'[3]segmenty prez'!$H$19*1000</f>
        <v>-104000</v>
      </c>
      <c r="E11" s="758">
        <f>'[3]segmenty prez'!$H$15*1000</f>
        <v>-99000</v>
      </c>
      <c r="F11" s="758">
        <f>'[3]segmenty prez'!$H$30*1000</f>
        <v>920000</v>
      </c>
      <c r="H11" s="758">
        <f>'[3]segmenty 3 m-ce PREZ'!$H$9*1000</f>
        <v>-2858000</v>
      </c>
      <c r="I11" s="758">
        <f>'[3]segmenty 3 m-ce PREZ'!$H$19*1000</f>
        <v>-48000</v>
      </c>
      <c r="J11" s="758">
        <f>'[3]segmenty 3 m-ce PREZ'!$H$15*1000</f>
        <v>-46000</v>
      </c>
      <c r="K11" s="758">
        <f>F11</f>
        <v>920000</v>
      </c>
      <c r="M11" s="463">
        <f>('[4]segmenty prez'!$H$9)*1000</f>
        <v>-3513000</v>
      </c>
      <c r="N11" s="463">
        <f>('[4]segmenty prez'!$H$19)*1000</f>
        <v>-56000</v>
      </c>
      <c r="O11" s="463">
        <f>('[4]segmenty prez'!$H$15)*1000</f>
        <v>-53000</v>
      </c>
      <c r="P11" s="463">
        <f>('[4]segmenty prez'!$H$30)*1000</f>
        <v>947000</v>
      </c>
      <c r="R11" s="463">
        <f>[5]segmenty!$H$9*1000</f>
        <v>-17028000</v>
      </c>
      <c r="S11" s="463">
        <f>[5]segmenty!$H$36*1000</f>
        <v>-161000</v>
      </c>
      <c r="T11" s="463">
        <f>[5]segmenty!$H$33*1000</f>
        <v>-153000</v>
      </c>
      <c r="U11" s="463">
        <f>[5]segmenty!$H$27*1000</f>
        <v>919000</v>
      </c>
      <c r="W11" s="463">
        <f t="shared" si="14"/>
        <v>-3733000</v>
      </c>
      <c r="X11" s="463">
        <f t="shared" si="14"/>
        <v>-38000</v>
      </c>
      <c r="Y11" s="463">
        <f t="shared" si="14"/>
        <v>-39000</v>
      </c>
      <c r="Z11" s="463">
        <f t="shared" si="15"/>
        <v>919000</v>
      </c>
      <c r="AB11" s="463">
        <f>'[6]segmenty prez'!$H$9*1000</f>
        <v>-13295000</v>
      </c>
      <c r="AC11" s="463">
        <f>'[6]segmenty prez'!$H$16*1000</f>
        <v>-123000</v>
      </c>
      <c r="AD11" s="463">
        <f>'[6]segmenty prez'!$H$12*1000</f>
        <v>-114000</v>
      </c>
      <c r="AE11" s="463">
        <f>'[6]segmenty prez'!$H$27*1000</f>
        <v>1066000</v>
      </c>
      <c r="AG11" s="463">
        <f>([6]segmenty!$H$9)*1000</f>
        <v>-13295000</v>
      </c>
      <c r="AH11" s="463">
        <f>([6]segmenty!$H$34)*1000</f>
        <v>-123000</v>
      </c>
      <c r="AI11" s="463">
        <f>([6]segmenty!$H$31)*1000</f>
        <v>-114000</v>
      </c>
      <c r="AJ11" s="463">
        <f>[6]segmenty!$H$25*1000</f>
        <v>1066000</v>
      </c>
      <c r="AL11" s="463">
        <f>'[7]segmenty prez'!$H$9*1000</f>
        <v>-8981000</v>
      </c>
      <c r="AM11" s="463">
        <f>'[7]segmenty prez'!$H$16*1000</f>
        <v>-86000</v>
      </c>
      <c r="AN11" s="463">
        <f>'[7]segmenty prez'!$H$12*1000</f>
        <v>-81000</v>
      </c>
      <c r="AO11" s="463">
        <f>'[7]segmenty prez'!$H$27*1000</f>
        <v>1069000</v>
      </c>
      <c r="AQ11" s="463">
        <f>'[7]segmenty 3 m-ce PREZ'!$H$9*1000</f>
        <v>-4727000</v>
      </c>
      <c r="AR11" s="463">
        <f>'[7]segmenty 3 m-ce PREZ'!$H$16*1000</f>
        <v>-43000</v>
      </c>
      <c r="AS11" s="463">
        <f>'[7]segmenty 3 m-ce PREZ'!$H$12*1000</f>
        <v>-41000</v>
      </c>
      <c r="AT11" s="463">
        <f>AO11</f>
        <v>1069000</v>
      </c>
      <c r="AV11" s="463">
        <f>([8]segmenty!$H$9)*1000</f>
        <v>-4254000</v>
      </c>
      <c r="AW11" s="463">
        <f>([8]segmenty!$H$34)*1000</f>
        <v>-43000</v>
      </c>
      <c r="AX11" s="463">
        <f>([8]segmenty!$H$31)*1000</f>
        <v>-40000</v>
      </c>
      <c r="AY11" s="463">
        <f>([8]segmenty!$H$25)*1000</f>
        <v>1184000</v>
      </c>
      <c r="BA11" s="463">
        <f>[9]segmenty!$H$9*1000</f>
        <v>-18739000</v>
      </c>
      <c r="BB11" s="463">
        <f>[9]segmenty!$H$34*1000</f>
        <v>-182000</v>
      </c>
      <c r="BC11" s="463">
        <f>[9]segmenty!$H$31*1000</f>
        <v>-173000</v>
      </c>
      <c r="BD11" s="463">
        <f>[9]segmenty!$H$25*1000</f>
        <v>1146000</v>
      </c>
      <c r="BF11" s="463">
        <f t="shared" si="27"/>
        <v>-4385000</v>
      </c>
      <c r="BG11" s="463">
        <f t="shared" si="17"/>
        <v>-48000</v>
      </c>
      <c r="BH11" s="463">
        <f t="shared" si="17"/>
        <v>-47000</v>
      </c>
      <c r="BI11" s="463">
        <f>BD11</f>
        <v>1146000</v>
      </c>
      <c r="BK11" s="463">
        <f>([10]segmenty!$H$9)*1000-461000</f>
        <v>-14354000</v>
      </c>
      <c r="BL11" s="463">
        <f>([10]segmenty!$H$34)*1000</f>
        <v>-134000</v>
      </c>
      <c r="BM11" s="463">
        <f>([10]segmenty!$H$31)*1000</f>
        <v>-126000</v>
      </c>
      <c r="BN11" s="463">
        <f>([10]segmenty!$H$25)*1000</f>
        <v>1436000</v>
      </c>
      <c r="BP11" s="463">
        <f>('[6]segmenty 3 m-ce PREZ'!$H$9)*1000</f>
        <v>-4314000</v>
      </c>
      <c r="BQ11" s="463">
        <f>('[6]segmenty 3 m-ce PREZ'!$H$16)*1000</f>
        <v>-37000</v>
      </c>
      <c r="BR11" s="463">
        <f>('[6]segmenty 3 m-ce PREZ'!$H$12)*1000</f>
        <v>-33000</v>
      </c>
      <c r="BS11" s="463">
        <f>BN11</f>
        <v>1436000</v>
      </c>
      <c r="BU11" s="463">
        <f>'[17]segmenty prez'!$H$9*1000-462000</f>
        <v>-8202000</v>
      </c>
      <c r="BV11" s="463">
        <f>'[17]segmenty prez'!$H$16*1000</f>
        <v>-91000</v>
      </c>
      <c r="BW11" s="463">
        <f>'[17]segmenty prez'!$H$12*1000</f>
        <v>-88000</v>
      </c>
      <c r="BX11" s="463">
        <f>[17]segmenty!$H$25*1000</f>
        <v>1333000</v>
      </c>
      <c r="BZ11" s="463" t="e">
        <f>#REF!*1000-69000</f>
        <v>#REF!</v>
      </c>
      <c r="CA11" s="463" t="e">
        <f>#REF!*1000</f>
        <v>#REF!</v>
      </c>
      <c r="CB11" s="463" t="e">
        <f>#REF!*1000</f>
        <v>#REF!</v>
      </c>
      <c r="CC11" s="463">
        <f>BX11</f>
        <v>1333000</v>
      </c>
      <c r="CE11" s="463">
        <v>-4798000</v>
      </c>
      <c r="CF11" s="463">
        <f>'[11]segmenty prez'!$G$16*1000</f>
        <v>-47000</v>
      </c>
      <c r="CG11" s="463">
        <f>'[11]segmenty prez'!$G$12*1000</f>
        <v>-46000</v>
      </c>
      <c r="CH11" s="463">
        <f>'[11]segmenty prez'!$G$27*1000</f>
        <v>1856000</v>
      </c>
      <c r="CJ11" s="463"/>
      <c r="CK11" s="463"/>
      <c r="CL11" s="463"/>
      <c r="CM11" s="463"/>
      <c r="CO11" s="463"/>
      <c r="CP11" s="463"/>
      <c r="CQ11" s="463"/>
      <c r="CR11" s="463"/>
      <c r="CT11" s="463"/>
      <c r="CU11" s="463"/>
      <c r="CV11" s="463"/>
      <c r="CW11" s="463"/>
      <c r="CY11" s="463"/>
      <c r="CZ11" s="463"/>
      <c r="DA11" s="463"/>
      <c r="DB11" s="463"/>
      <c r="DD11" s="463"/>
      <c r="DE11" s="463"/>
      <c r="DF11" s="463"/>
      <c r="DG11" s="463"/>
      <c r="DI11" s="463"/>
      <c r="DJ11" s="463"/>
      <c r="DK11" s="463"/>
      <c r="DL11" s="463"/>
      <c r="DN11" s="463"/>
      <c r="DO11" s="463"/>
      <c r="DP11" s="463"/>
      <c r="DQ11" s="463"/>
      <c r="DS11" s="463"/>
      <c r="DT11" s="463"/>
      <c r="DU11" s="463"/>
      <c r="DV11" s="463"/>
      <c r="DX11" s="463"/>
      <c r="DY11" s="463"/>
      <c r="DZ11" s="463"/>
      <c r="EA11" s="463"/>
      <c r="EC11" s="463"/>
      <c r="ED11" s="463"/>
      <c r="EE11" s="463"/>
      <c r="EF11" s="463"/>
      <c r="EH11" s="463"/>
      <c r="EI11" s="463"/>
      <c r="EJ11" s="463"/>
      <c r="EK11" s="463"/>
      <c r="EM11" s="463"/>
      <c r="EN11" s="463"/>
      <c r="EO11" s="463"/>
      <c r="EP11" s="463"/>
      <c r="ER11" s="463"/>
      <c r="ES11" s="463"/>
      <c r="ET11" s="463"/>
      <c r="EU11" s="463"/>
      <c r="EW11" s="463"/>
      <c r="EX11" s="463"/>
      <c r="EY11" s="463"/>
      <c r="EZ11" s="463"/>
      <c r="FB11" s="463"/>
      <c r="FC11" s="463"/>
      <c r="FD11" s="463"/>
      <c r="FE11" s="463"/>
      <c r="FG11" s="463"/>
      <c r="FH11" s="463"/>
      <c r="FI11" s="463"/>
      <c r="FJ11" s="463"/>
      <c r="FL11" s="463"/>
      <c r="FM11" s="463"/>
      <c r="FN11" s="463"/>
      <c r="FO11" s="463"/>
      <c r="FQ11" s="463"/>
      <c r="FR11" s="463"/>
      <c r="FS11" s="463"/>
      <c r="FT11" s="463"/>
      <c r="FV11" s="463"/>
      <c r="FW11" s="463"/>
      <c r="FX11" s="463"/>
      <c r="FY11" s="463"/>
      <c r="GA11" s="463"/>
      <c r="GB11" s="463"/>
      <c r="GC11" s="463"/>
      <c r="GD11" s="463"/>
      <c r="GF11" s="463"/>
      <c r="GG11" s="463"/>
      <c r="GH11" s="463"/>
      <c r="GI11" s="463"/>
      <c r="GK11" s="463"/>
      <c r="GL11" s="463"/>
      <c r="GM11" s="463"/>
      <c r="GN11" s="463"/>
      <c r="GP11" s="463"/>
      <c r="GQ11" s="463"/>
      <c r="GR11" s="463"/>
      <c r="GS11" s="463"/>
      <c r="GU11" s="463"/>
      <c r="GV11" s="463"/>
      <c r="GW11" s="463"/>
      <c r="GX11" s="463"/>
      <c r="GZ11" s="463"/>
      <c r="HA11" s="463"/>
      <c r="HB11" s="463"/>
      <c r="HC11" s="463"/>
      <c r="HE11" s="463"/>
      <c r="HF11" s="464"/>
      <c r="HG11" s="463"/>
      <c r="HH11" s="463"/>
      <c r="HJ11" s="463"/>
      <c r="HK11" s="464"/>
      <c r="HL11" s="463"/>
      <c r="HM11" s="463"/>
      <c r="HO11" s="463"/>
      <c r="HP11" s="464"/>
      <c r="HQ11" s="463"/>
      <c r="HR11" s="463"/>
      <c r="HS11" s="5"/>
      <c r="HT11" s="341"/>
      <c r="HU11" s="342"/>
      <c r="HV11" s="341"/>
      <c r="HW11" s="341"/>
      <c r="HY11" s="341"/>
      <c r="HZ11" s="342"/>
      <c r="IA11" s="341"/>
      <c r="IB11" s="341"/>
      <c r="ID11" s="341"/>
      <c r="IE11" s="342"/>
      <c r="IF11" s="341"/>
      <c r="IG11" s="341"/>
      <c r="II11" s="341"/>
      <c r="IJ11" s="342"/>
      <c r="IK11" s="341"/>
      <c r="IL11" s="341"/>
      <c r="IO11" s="341"/>
      <c r="IP11" s="342"/>
      <c r="IQ11" s="341"/>
      <c r="IR11" s="341"/>
      <c r="IT11" s="341"/>
      <c r="IU11" s="342"/>
      <c r="IV11" s="341"/>
      <c r="IW11" s="341"/>
      <c r="IY11" s="341"/>
      <c r="IZ11" s="342"/>
      <c r="JA11" s="341"/>
      <c r="JB11" s="341"/>
      <c r="JD11" s="341"/>
      <c r="JE11" s="341"/>
      <c r="JF11" s="341"/>
      <c r="JG11" s="341"/>
      <c r="JI11" s="341"/>
      <c r="JJ11" s="342"/>
      <c r="JK11" s="341"/>
      <c r="JL11" s="341"/>
      <c r="JN11" s="341"/>
      <c r="JO11" s="342"/>
      <c r="JP11" s="341"/>
      <c r="JQ11" s="341"/>
      <c r="JS11" s="341"/>
      <c r="JT11" s="342"/>
      <c r="JU11" s="341"/>
      <c r="JV11" s="341"/>
      <c r="JX11" s="318"/>
      <c r="JY11" s="319"/>
      <c r="JZ11" s="318"/>
      <c r="KA11" s="318"/>
      <c r="KC11" s="318"/>
      <c r="KD11" s="319"/>
      <c r="KE11" s="318"/>
      <c r="KF11" s="318"/>
      <c r="KH11" s="180"/>
      <c r="KI11" s="183"/>
      <c r="KJ11" s="180"/>
      <c r="KK11" s="180"/>
      <c r="KM11" s="180"/>
      <c r="KN11" s="180"/>
      <c r="KO11" s="180"/>
      <c r="KP11" s="180"/>
      <c r="KR11" s="180"/>
      <c r="KS11" s="183"/>
      <c r="KT11" s="180"/>
      <c r="KU11" s="180"/>
      <c r="KV11" s="156"/>
      <c r="KW11" s="180"/>
      <c r="KX11" s="180"/>
      <c r="KY11" s="180"/>
      <c r="KZ11" s="180"/>
      <c r="LA11" s="180"/>
      <c r="LB11" s="180"/>
      <c r="LC11" s="180"/>
      <c r="LD11" s="180"/>
      <c r="LE11" s="180"/>
      <c r="LF11" s="156"/>
      <c r="LG11" s="180"/>
      <c r="LH11" s="180"/>
      <c r="LI11" s="180"/>
      <c r="LJ11" s="180"/>
      <c r="LK11" s="156"/>
      <c r="LL11" s="180"/>
      <c r="LM11" s="180"/>
      <c r="LN11" s="180"/>
      <c r="LO11" s="180"/>
      <c r="LP11" s="156"/>
      <c r="LQ11" s="180"/>
      <c r="LR11" s="180"/>
      <c r="LS11" s="180"/>
      <c r="LT11" s="180"/>
      <c r="LU11" s="156"/>
      <c r="LV11" s="180"/>
      <c r="LW11" s="180"/>
      <c r="LX11" s="180"/>
      <c r="LY11" s="180"/>
      <c r="LZ11" s="156"/>
      <c r="MA11" s="180"/>
      <c r="MB11" s="180"/>
      <c r="MC11" s="180"/>
      <c r="MD11" s="180"/>
      <c r="ME11" s="156"/>
      <c r="MF11" s="180"/>
      <c r="MG11" s="180"/>
      <c r="MH11" s="180"/>
      <c r="MI11" s="180"/>
      <c r="MJ11" s="156"/>
      <c r="MK11" s="180"/>
      <c r="ML11" s="180"/>
      <c r="MM11" s="180"/>
      <c r="MN11" s="180"/>
      <c r="MO11" s="156"/>
      <c r="MP11" s="180"/>
      <c r="MQ11" s="180"/>
      <c r="MR11" s="180"/>
      <c r="MS11" s="180"/>
      <c r="MT11" s="156"/>
      <c r="MU11" s="180"/>
      <c r="MV11" s="180"/>
      <c r="MW11" s="180"/>
      <c r="MX11" s="180"/>
      <c r="MY11" s="156"/>
      <c r="MZ11" s="180"/>
      <c r="NA11" s="180"/>
      <c r="NB11" s="180"/>
      <c r="NC11" s="180"/>
      <c r="ND11" s="156"/>
      <c r="NE11" s="180"/>
      <c r="NF11" s="180"/>
      <c r="NG11" s="180"/>
      <c r="NH11" s="180"/>
      <c r="NI11" s="162"/>
      <c r="NJ11" s="180"/>
      <c r="NK11" s="180"/>
      <c r="NL11" s="180"/>
      <c r="NM11" s="180"/>
      <c r="NN11" s="162"/>
      <c r="NO11" s="180"/>
      <c r="NP11" s="180"/>
      <c r="NQ11" s="180"/>
      <c r="NR11" s="180"/>
      <c r="NS11" s="156"/>
      <c r="NT11" s="180"/>
      <c r="NU11" s="180"/>
      <c r="NV11" s="180"/>
      <c r="NW11" s="180"/>
      <c r="NX11" s="156"/>
      <c r="NY11" s="180"/>
      <c r="NZ11" s="180"/>
      <c r="OA11" s="180"/>
      <c r="OB11" s="180"/>
      <c r="OC11" s="156"/>
      <c r="OD11" s="180"/>
      <c r="OE11" s="180"/>
      <c r="OF11" s="180"/>
      <c r="OG11" s="180"/>
      <c r="OH11" s="156"/>
      <c r="OI11" s="180"/>
      <c r="OJ11" s="180"/>
      <c r="OK11" s="180"/>
      <c r="OL11" s="180"/>
      <c r="OM11" s="156"/>
      <c r="ON11" s="162"/>
      <c r="OO11" s="155"/>
      <c r="OP11" s="155"/>
      <c r="OQ11" s="155"/>
      <c r="OR11" s="179"/>
      <c r="OS11" s="156"/>
      <c r="OT11" s="155"/>
      <c r="OU11" s="155"/>
      <c r="OV11" s="155"/>
      <c r="OW11" s="179"/>
      <c r="OX11" s="156"/>
      <c r="OY11" s="155"/>
      <c r="OZ11" s="155"/>
      <c r="PA11" s="155"/>
      <c r="PB11" s="179"/>
      <c r="PC11" s="156"/>
      <c r="PD11" s="156"/>
      <c r="PE11" s="156"/>
      <c r="PF11" s="156"/>
      <c r="PG11" s="156"/>
      <c r="PH11" s="156"/>
      <c r="PI11" s="156"/>
      <c r="PJ11" s="156"/>
      <c r="PK11" s="156"/>
      <c r="PL11" s="156"/>
      <c r="PM11" s="156"/>
      <c r="PN11" s="156"/>
      <c r="PO11" s="156"/>
      <c r="PP11" s="156"/>
      <c r="PQ11" s="156"/>
      <c r="PR11" s="156"/>
      <c r="PS11" s="156"/>
      <c r="PT11" s="156"/>
      <c r="PU11" s="156"/>
      <c r="PV11" s="156"/>
      <c r="PW11" s="156"/>
      <c r="PX11" s="156"/>
      <c r="PY11" s="156"/>
      <c r="PZ11" s="156"/>
      <c r="QA11" s="156"/>
      <c r="QB11" s="156"/>
      <c r="QC11" s="156"/>
      <c r="QD11" s="156"/>
      <c r="QE11" s="156"/>
      <c r="QF11" s="156"/>
      <c r="QG11" s="156"/>
      <c r="QH11" s="156"/>
      <c r="QI11" s="156"/>
      <c r="QJ11" s="156"/>
      <c r="QK11" s="156"/>
      <c r="QL11" s="156"/>
      <c r="QM11" s="156"/>
      <c r="QN11" s="156"/>
      <c r="QO11" s="156"/>
      <c r="QP11" s="156"/>
      <c r="QQ11" s="156"/>
      <c r="QR11" s="156"/>
      <c r="QS11" s="156"/>
      <c r="QT11" s="156"/>
    </row>
    <row r="12" spans="1:462">
      <c r="D12" s="145"/>
      <c r="I12" s="145"/>
      <c r="N12" s="145"/>
      <c r="S12" s="145"/>
      <c r="X12" s="145"/>
      <c r="AC12" s="145"/>
      <c r="AH12" s="145"/>
      <c r="AM12" s="145"/>
      <c r="AR12" s="145"/>
      <c r="AW12" s="145"/>
      <c r="BB12" s="145"/>
      <c r="BG12" s="145"/>
      <c r="BL12" s="145"/>
      <c r="BM12" s="626"/>
      <c r="BQ12" s="145"/>
      <c r="BV12" s="145"/>
      <c r="CA12" s="145"/>
      <c r="CE12" s="626">
        <f>SUM(CE4:CE11)/1000-'[18]Hist. dane kwart. - Q figures'!O5</f>
        <v>0</v>
      </c>
      <c r="CF12" s="626"/>
      <c r="CG12" s="626">
        <f>SUM(CG4:CG11)/1000-'[18]Hist. dane kwart. - Q figures'!O13</f>
        <v>0</v>
      </c>
      <c r="CK12" s="145"/>
      <c r="CP12" s="145"/>
      <c r="CU12" s="145"/>
      <c r="CZ12" s="145"/>
      <c r="DE12" s="145"/>
      <c r="DJ12" s="145"/>
      <c r="DO12" s="145"/>
      <c r="DT12" s="145"/>
      <c r="DY12" s="145"/>
      <c r="ED12" s="145"/>
      <c r="EI12" s="145"/>
      <c r="EN12" s="145"/>
      <c r="ES12" s="145"/>
      <c r="EX12" s="145"/>
      <c r="FC12" s="145"/>
      <c r="FH12" s="145"/>
      <c r="FM12" s="145"/>
      <c r="FR12" s="145"/>
      <c r="FW12" s="145"/>
      <c r="GB12" s="145"/>
      <c r="GG12" s="145"/>
      <c r="GL12" s="145"/>
      <c r="GQ12" s="145"/>
      <c r="GV12" s="145"/>
      <c r="HA12" s="145"/>
      <c r="HF12" s="145"/>
      <c r="HK12" s="145"/>
      <c r="HP12" s="145"/>
      <c r="HU12" s="343"/>
      <c r="HZ12" s="343"/>
      <c r="IE12" s="343"/>
      <c r="IJ12" s="343"/>
      <c r="IP12" s="343"/>
      <c r="IU12" s="343"/>
      <c r="IZ12" s="343"/>
      <c r="JE12" s="343"/>
      <c r="JJ12" s="343"/>
      <c r="JO12" s="343"/>
      <c r="JT12" s="343"/>
      <c r="JY12" s="181"/>
      <c r="KD12" s="181"/>
      <c r="KH12" s="156"/>
      <c r="KI12" s="181"/>
      <c r="KJ12" s="156"/>
      <c r="KK12" s="156"/>
      <c r="KM12" s="156"/>
      <c r="KN12" s="156"/>
      <c r="KO12" s="156"/>
      <c r="KP12" s="156"/>
      <c r="KR12" s="156"/>
      <c r="KS12" s="181"/>
      <c r="KT12" s="156"/>
      <c r="KU12" s="156"/>
      <c r="KV12" s="156"/>
      <c r="KW12" s="156"/>
      <c r="KX12" s="156"/>
      <c r="KY12" s="156"/>
      <c r="KZ12" s="156"/>
      <c r="LA12" s="156"/>
      <c r="LB12" s="156"/>
      <c r="LC12" s="156"/>
      <c r="LD12" s="156"/>
      <c r="LE12" s="156"/>
      <c r="LF12" s="156"/>
      <c r="LG12" s="156"/>
      <c r="LH12" s="156"/>
      <c r="LI12" s="156"/>
      <c r="LJ12" s="156"/>
      <c r="LK12" s="156"/>
      <c r="LL12" s="156"/>
      <c r="LM12" s="156"/>
      <c r="LN12" s="156"/>
      <c r="LO12" s="156"/>
      <c r="LP12" s="156"/>
      <c r="LQ12" s="156"/>
      <c r="LR12" s="156"/>
      <c r="LS12" s="156"/>
      <c r="LT12" s="156"/>
      <c r="LU12" s="156"/>
      <c r="LV12" s="156"/>
      <c r="LW12" s="156"/>
      <c r="LX12" s="156"/>
      <c r="LY12" s="156"/>
      <c r="LZ12" s="156"/>
      <c r="MA12" s="156"/>
      <c r="MB12" s="156"/>
      <c r="MC12" s="156"/>
      <c r="MD12" s="156"/>
      <c r="ME12" s="156"/>
      <c r="MF12" s="156"/>
      <c r="MG12" s="156"/>
      <c r="MH12" s="156"/>
      <c r="MI12" s="156"/>
      <c r="MJ12" s="156"/>
      <c r="MK12" s="156"/>
      <c r="ML12" s="156"/>
      <c r="MM12" s="156"/>
      <c r="MN12" s="156"/>
      <c r="MO12" s="156"/>
      <c r="MP12" s="156"/>
      <c r="MQ12" s="156"/>
      <c r="MR12" s="156"/>
      <c r="MS12" s="156"/>
      <c r="MT12" s="156"/>
      <c r="MU12" s="156"/>
      <c r="MV12" s="156"/>
      <c r="MW12" s="156"/>
      <c r="MX12" s="156"/>
      <c r="MY12" s="156"/>
      <c r="MZ12" s="156"/>
      <c r="NA12" s="156"/>
      <c r="NB12" s="156"/>
      <c r="NC12" s="156"/>
      <c r="ND12" s="156"/>
      <c r="NE12" s="156"/>
      <c r="NF12" s="156"/>
      <c r="NG12" s="156"/>
      <c r="NH12" s="156"/>
      <c r="NI12" s="156"/>
      <c r="NJ12" s="156"/>
      <c r="NK12" s="156"/>
      <c r="NL12" s="156"/>
      <c r="NM12" s="156"/>
      <c r="NN12" s="156"/>
      <c r="NO12" s="156"/>
      <c r="NP12" s="156"/>
      <c r="NQ12" s="156"/>
      <c r="NR12" s="156"/>
      <c r="NS12" s="156"/>
      <c r="NT12" s="156"/>
      <c r="NU12" s="156"/>
      <c r="NV12" s="156"/>
      <c r="NW12" s="156"/>
      <c r="NX12" s="156"/>
      <c r="NY12" s="156"/>
      <c r="NZ12" s="156"/>
      <c r="OA12" s="156"/>
      <c r="OB12" s="156"/>
      <c r="OC12" s="156"/>
      <c r="OD12" s="156"/>
      <c r="OE12" s="156"/>
      <c r="OF12" s="156"/>
      <c r="OG12" s="156"/>
      <c r="OH12" s="156"/>
      <c r="OI12" s="156"/>
      <c r="OJ12" s="156"/>
      <c r="OK12" s="156"/>
      <c r="OL12" s="156"/>
      <c r="OM12" s="156"/>
      <c r="ON12" s="162" t="s">
        <v>84</v>
      </c>
      <c r="OO12" s="155">
        <v>15277451</v>
      </c>
      <c r="OP12" s="155">
        <v>608213</v>
      </c>
      <c r="OQ12" s="155">
        <v>582307</v>
      </c>
      <c r="OR12" s="179">
        <v>3715551</v>
      </c>
      <c r="OS12" s="156"/>
      <c r="OT12" s="155">
        <v>11266992</v>
      </c>
      <c r="OU12" s="155">
        <v>501464</v>
      </c>
      <c r="OV12" s="155">
        <v>478799</v>
      </c>
      <c r="OW12" s="179">
        <v>2413083</v>
      </c>
      <c r="OX12" s="156"/>
      <c r="OY12" s="155">
        <v>7575109</v>
      </c>
      <c r="OZ12" s="155">
        <v>391634</v>
      </c>
      <c r="PA12" s="155">
        <v>373508</v>
      </c>
      <c r="PB12" s="179">
        <v>2040729</v>
      </c>
      <c r="PC12" s="156"/>
      <c r="PD12" s="156"/>
      <c r="PE12" s="156"/>
      <c r="PF12" s="156"/>
      <c r="PG12" s="156"/>
      <c r="PH12" s="156"/>
      <c r="PI12" s="156"/>
      <c r="PJ12" s="156"/>
      <c r="PK12" s="156"/>
      <c r="PL12" s="156"/>
      <c r="PM12" s="156"/>
      <c r="PN12" s="156"/>
      <c r="PO12" s="156"/>
      <c r="PP12" s="156"/>
      <c r="PQ12" s="156"/>
      <c r="PR12" s="156"/>
      <c r="PS12" s="156"/>
      <c r="PT12" s="156"/>
      <c r="PU12" s="156"/>
      <c r="PV12" s="156"/>
      <c r="PW12" s="156"/>
      <c r="PX12" s="156"/>
      <c r="PY12" s="156"/>
      <c r="PZ12" s="156"/>
      <c r="QA12" s="156"/>
      <c r="QB12" s="156"/>
      <c r="QC12" s="156"/>
      <c r="QD12" s="156"/>
      <c r="QE12" s="156"/>
      <c r="QF12" s="156"/>
      <c r="QG12" s="156"/>
      <c r="QH12" s="156"/>
      <c r="QI12" s="156"/>
      <c r="QJ12" s="156"/>
      <c r="QK12" s="156"/>
      <c r="QL12" s="156"/>
      <c r="QM12" s="156"/>
      <c r="QN12" s="156"/>
      <c r="QO12" s="156"/>
      <c r="QP12" s="156"/>
      <c r="QQ12" s="156"/>
      <c r="QR12" s="156"/>
      <c r="QS12" s="156"/>
      <c r="QT12" s="156"/>
    </row>
    <row r="13" spans="1:462">
      <c r="D13" s="145"/>
      <c r="I13" s="145"/>
      <c r="N13" s="145"/>
      <c r="S13" s="145"/>
      <c r="X13" s="145"/>
      <c r="AC13" s="145"/>
      <c r="AH13" s="145"/>
      <c r="AM13" s="145"/>
      <c r="AR13" s="145"/>
      <c r="AW13" s="145"/>
      <c r="BB13" s="145"/>
      <c r="BG13" s="145"/>
      <c r="BL13" s="145"/>
      <c r="BP13" s="10">
        <v>1000</v>
      </c>
      <c r="BQ13" s="145"/>
      <c r="BV13" s="145"/>
      <c r="CA13" s="145"/>
      <c r="CF13" s="145"/>
      <c r="CK13" s="145"/>
      <c r="CP13" s="145"/>
      <c r="CU13" s="145"/>
      <c r="CZ13" s="145"/>
      <c r="DE13" s="145"/>
      <c r="DJ13" s="145"/>
      <c r="DO13" s="145"/>
      <c r="DT13" s="145"/>
      <c r="DY13" s="145"/>
      <c r="ED13" s="145"/>
      <c r="EI13" s="145"/>
      <c r="EN13" s="145"/>
      <c r="ES13" s="145"/>
      <c r="EX13" s="145"/>
      <c r="FC13" s="145"/>
      <c r="FH13" s="145"/>
      <c r="FM13" s="145"/>
      <c r="FR13" s="145"/>
      <c r="FW13" s="145"/>
      <c r="GB13" s="145"/>
      <c r="GG13" s="145"/>
      <c r="GL13" s="145"/>
      <c r="GQ13" s="145"/>
      <c r="GV13" s="145"/>
      <c r="HA13" s="145"/>
      <c r="HF13" s="145"/>
      <c r="HK13" s="145"/>
      <c r="HP13" s="145"/>
      <c r="HU13" s="343"/>
      <c r="HZ13" s="343"/>
      <c r="IE13" s="343"/>
      <c r="IJ13" s="343"/>
      <c r="IP13" s="343"/>
      <c r="IU13" s="343"/>
      <c r="IZ13" s="343"/>
      <c r="JE13" s="343"/>
      <c r="JJ13" s="343"/>
      <c r="JO13" s="343"/>
      <c r="JT13" s="343"/>
      <c r="JY13" s="181"/>
      <c r="KD13" s="181"/>
      <c r="KH13" s="156"/>
      <c r="KI13" s="181"/>
      <c r="KJ13" s="156"/>
      <c r="KK13" s="156"/>
      <c r="KM13" s="156"/>
      <c r="KN13" s="156"/>
      <c r="KO13" s="156"/>
      <c r="KP13" s="156"/>
      <c r="KR13" s="156"/>
      <c r="KS13" s="181"/>
      <c r="KT13" s="156"/>
      <c r="KU13" s="156"/>
      <c r="KV13" s="156"/>
      <c r="KW13" s="156"/>
      <c r="KX13" s="156"/>
      <c r="KY13" s="156"/>
      <c r="KZ13" s="156"/>
      <c r="LA13" s="156"/>
      <c r="LB13" s="156"/>
      <c r="LC13" s="156"/>
      <c r="LD13" s="156"/>
      <c r="LE13" s="156"/>
      <c r="LF13" s="156"/>
      <c r="LG13" s="156"/>
      <c r="LH13" s="156"/>
      <c r="LI13" s="156"/>
      <c r="LJ13" s="156"/>
      <c r="LK13" s="156"/>
      <c r="LL13" s="156"/>
      <c r="LM13" s="156"/>
      <c r="LN13" s="156"/>
      <c r="LO13" s="156"/>
      <c r="LP13" s="156"/>
      <c r="LQ13" s="156"/>
      <c r="LR13" s="156"/>
      <c r="LS13" s="156"/>
      <c r="LT13" s="156"/>
      <c r="LU13" s="156"/>
      <c r="LV13" s="156"/>
      <c r="LW13" s="156"/>
      <c r="LX13" s="156"/>
      <c r="LY13" s="156"/>
      <c r="LZ13" s="156"/>
      <c r="MA13" s="156"/>
      <c r="MB13" s="156"/>
      <c r="MC13" s="156"/>
      <c r="MD13" s="156"/>
      <c r="ME13" s="156"/>
      <c r="MF13" s="156"/>
      <c r="MG13" s="156"/>
      <c r="MH13" s="156"/>
      <c r="MI13" s="156"/>
      <c r="MJ13" s="156"/>
      <c r="MK13" s="156"/>
      <c r="ML13" s="156"/>
      <c r="MM13" s="156"/>
      <c r="MN13" s="156"/>
      <c r="MO13" s="156"/>
      <c r="MP13" s="156"/>
      <c r="MQ13" s="156"/>
      <c r="MR13" s="156"/>
      <c r="MS13" s="156"/>
      <c r="MT13" s="156"/>
      <c r="MU13" s="156"/>
      <c r="MV13" s="156"/>
      <c r="MW13" s="156"/>
      <c r="MX13" s="156"/>
      <c r="MY13" s="156"/>
      <c r="MZ13" s="156"/>
      <c r="NA13" s="156"/>
      <c r="NB13" s="156"/>
      <c r="NC13" s="156"/>
      <c r="ND13" s="156"/>
      <c r="NE13" s="156"/>
      <c r="NF13" s="156"/>
      <c r="NG13" s="156"/>
      <c r="NH13" s="156"/>
      <c r="NI13" s="156"/>
      <c r="NJ13" s="156"/>
      <c r="NK13" s="156"/>
      <c r="NL13" s="156"/>
      <c r="NM13" s="156"/>
      <c r="NN13" s="156"/>
      <c r="NO13" s="156"/>
      <c r="NP13" s="156"/>
      <c r="NQ13" s="156"/>
      <c r="NR13" s="156"/>
      <c r="NS13" s="156"/>
      <c r="NT13" s="156"/>
      <c r="NU13" s="156"/>
      <c r="NV13" s="156"/>
      <c r="NW13" s="156"/>
      <c r="NX13" s="156"/>
      <c r="NY13" s="156"/>
      <c r="NZ13" s="156"/>
      <c r="OA13" s="156"/>
      <c r="OB13" s="156"/>
      <c r="OC13" s="156"/>
      <c r="OD13" s="156"/>
      <c r="OE13" s="156"/>
      <c r="OF13" s="156"/>
      <c r="OG13" s="156"/>
      <c r="OH13" s="156"/>
      <c r="OI13" s="156"/>
      <c r="OJ13" s="156"/>
      <c r="OK13" s="156"/>
      <c r="OL13" s="156"/>
      <c r="OM13" s="156"/>
      <c r="ON13" s="162" t="s">
        <v>85</v>
      </c>
      <c r="OO13" s="155">
        <v>610021</v>
      </c>
      <c r="OP13" s="155">
        <v>84165</v>
      </c>
      <c r="OQ13" s="155">
        <v>41120</v>
      </c>
      <c r="OR13" s="155">
        <v>267663</v>
      </c>
      <c r="OS13" s="156"/>
      <c r="OT13" s="155">
        <v>456151</v>
      </c>
      <c r="OU13" s="155">
        <v>86553</v>
      </c>
      <c r="OV13" s="155">
        <v>56211</v>
      </c>
      <c r="OW13" s="155">
        <v>230454</v>
      </c>
      <c r="OX13" s="156"/>
      <c r="OY13" s="155">
        <v>300764</v>
      </c>
      <c r="OZ13" s="155">
        <v>55352</v>
      </c>
      <c r="PA13" s="155">
        <v>36866</v>
      </c>
      <c r="PB13" s="155">
        <v>222294</v>
      </c>
      <c r="PC13" s="156"/>
      <c r="PD13" s="156"/>
      <c r="PE13" s="156"/>
      <c r="PF13" s="156"/>
      <c r="PG13" s="156"/>
      <c r="PH13" s="156"/>
      <c r="PI13" s="156"/>
      <c r="PJ13" s="156"/>
      <c r="PK13" s="156"/>
      <c r="PL13" s="156"/>
      <c r="PM13" s="156"/>
      <c r="PN13" s="156"/>
      <c r="PO13" s="156"/>
      <c r="PP13" s="156"/>
      <c r="PQ13" s="156"/>
      <c r="PR13" s="156"/>
      <c r="PS13" s="156"/>
      <c r="PT13" s="156"/>
      <c r="PU13" s="156"/>
      <c r="PV13" s="156"/>
      <c r="PW13" s="156"/>
      <c r="PX13" s="156"/>
      <c r="PY13" s="156"/>
      <c r="PZ13" s="156"/>
      <c r="QA13" s="156"/>
      <c r="QB13" s="156"/>
      <c r="QC13" s="156"/>
      <c r="QD13" s="156"/>
      <c r="QE13" s="156"/>
      <c r="QF13" s="156"/>
      <c r="QG13" s="156"/>
      <c r="QH13" s="156"/>
      <c r="QI13" s="156"/>
      <c r="QJ13" s="156"/>
      <c r="QK13" s="156"/>
      <c r="QL13" s="156"/>
      <c r="QM13" s="156"/>
      <c r="QN13" s="156"/>
      <c r="QO13" s="156"/>
      <c r="QP13" s="156"/>
      <c r="QQ13" s="156"/>
      <c r="QR13" s="156"/>
      <c r="QS13" s="156"/>
      <c r="QT13" s="156"/>
    </row>
    <row r="14" spans="1:462" ht="75">
      <c r="A14" s="61" t="s">
        <v>370</v>
      </c>
      <c r="C14" s="759" t="s">
        <v>925</v>
      </c>
      <c r="D14" s="759" t="s">
        <v>926</v>
      </c>
      <c r="E14" s="759" t="s">
        <v>927</v>
      </c>
      <c r="F14" s="759" t="s">
        <v>977</v>
      </c>
      <c r="H14" s="759" t="s">
        <v>928</v>
      </c>
      <c r="I14" s="759" t="s">
        <v>929</v>
      </c>
      <c r="J14" s="759" t="s">
        <v>930</v>
      </c>
      <c r="K14" s="759" t="s">
        <v>977</v>
      </c>
      <c r="M14" s="59" t="s">
        <v>904</v>
      </c>
      <c r="N14" s="59" t="s">
        <v>905</v>
      </c>
      <c r="O14" s="59" t="s">
        <v>906</v>
      </c>
      <c r="P14" s="59" t="s">
        <v>977</v>
      </c>
      <c r="R14" s="59" t="s">
        <v>978</v>
      </c>
      <c r="S14" s="59" t="s">
        <v>979</v>
      </c>
      <c r="T14" s="59" t="s">
        <v>980</v>
      </c>
      <c r="U14" s="59" t="s">
        <v>909</v>
      </c>
      <c r="W14" s="59" t="s">
        <v>890</v>
      </c>
      <c r="X14" s="59" t="s">
        <v>887</v>
      </c>
      <c r="Y14" s="59" t="s">
        <v>885</v>
      </c>
      <c r="Z14" s="59" t="s">
        <v>909</v>
      </c>
      <c r="AB14" s="59" t="s">
        <v>895</v>
      </c>
      <c r="AC14" s="59" t="s">
        <v>896</v>
      </c>
      <c r="AD14" s="59" t="s">
        <v>891</v>
      </c>
      <c r="AE14" s="59" t="s">
        <v>909</v>
      </c>
      <c r="AG14" s="59" t="s">
        <v>890</v>
      </c>
      <c r="AH14" s="59" t="s">
        <v>887</v>
      </c>
      <c r="AI14" s="59" t="s">
        <v>885</v>
      </c>
      <c r="AJ14" s="59" t="s">
        <v>909</v>
      </c>
      <c r="AL14" s="59" t="s">
        <v>884</v>
      </c>
      <c r="AM14" s="59" t="s">
        <v>881</v>
      </c>
      <c r="AN14" s="59" t="s">
        <v>880</v>
      </c>
      <c r="AO14" s="59" t="s">
        <v>909</v>
      </c>
      <c r="AQ14" s="59" t="s">
        <v>872</v>
      </c>
      <c r="AR14" s="59" t="s">
        <v>871</v>
      </c>
      <c r="AS14" s="59" t="s">
        <v>870</v>
      </c>
      <c r="AT14" s="59" t="s">
        <v>909</v>
      </c>
      <c r="AV14" s="59" t="s">
        <v>826</v>
      </c>
      <c r="AW14" s="59" t="s">
        <v>827</v>
      </c>
      <c r="AX14" s="59" t="s">
        <v>828</v>
      </c>
      <c r="AY14" s="59" t="s">
        <v>909</v>
      </c>
      <c r="BA14" s="59" t="s">
        <v>812</v>
      </c>
      <c r="BB14" s="59" t="s">
        <v>813</v>
      </c>
      <c r="BC14" s="59" t="s">
        <v>814</v>
      </c>
      <c r="BD14" s="59" t="s">
        <v>818</v>
      </c>
      <c r="BF14" s="59" t="s">
        <v>819</v>
      </c>
      <c r="BG14" s="59" t="s">
        <v>820</v>
      </c>
      <c r="BH14" s="59" t="s">
        <v>821</v>
      </c>
      <c r="BI14" s="59" t="s">
        <v>818</v>
      </c>
      <c r="BK14" s="59" t="s">
        <v>894</v>
      </c>
      <c r="BL14" s="59" t="s">
        <v>893</v>
      </c>
      <c r="BM14" s="59" t="s">
        <v>892</v>
      </c>
      <c r="BN14" s="59" t="s">
        <v>818</v>
      </c>
      <c r="BP14" s="59" t="s">
        <v>889</v>
      </c>
      <c r="BQ14" s="59" t="s">
        <v>888</v>
      </c>
      <c r="BR14" s="59" t="s">
        <v>886</v>
      </c>
      <c r="BS14" s="59" t="s">
        <v>818</v>
      </c>
      <c r="BU14" s="59" t="s">
        <v>883</v>
      </c>
      <c r="BV14" s="59" t="s">
        <v>882</v>
      </c>
      <c r="BW14" s="59" t="s">
        <v>879</v>
      </c>
      <c r="BX14" s="59" t="s">
        <v>818</v>
      </c>
      <c r="BZ14" s="59" t="s">
        <v>876</v>
      </c>
      <c r="CA14" s="59" t="s">
        <v>877</v>
      </c>
      <c r="CB14" s="59" t="s">
        <v>878</v>
      </c>
      <c r="CC14" s="59" t="s">
        <v>818</v>
      </c>
      <c r="CE14" s="59" t="s">
        <v>873</v>
      </c>
      <c r="CF14" s="59" t="s">
        <v>874</v>
      </c>
      <c r="CG14" s="59" t="s">
        <v>875</v>
      </c>
      <c r="CH14" s="59" t="s">
        <v>818</v>
      </c>
      <c r="CJ14" s="59" t="s">
        <v>815</v>
      </c>
      <c r="CK14" s="59" t="s">
        <v>816</v>
      </c>
      <c r="CL14" s="59" t="s">
        <v>817</v>
      </c>
      <c r="CM14" s="59" t="s">
        <v>772</v>
      </c>
      <c r="CO14" s="59" t="s">
        <v>750</v>
      </c>
      <c r="CP14" s="59" t="s">
        <v>751</v>
      </c>
      <c r="CQ14" s="59" t="s">
        <v>752</v>
      </c>
      <c r="CR14" s="59" t="s">
        <v>772</v>
      </c>
      <c r="CT14" s="59" t="s">
        <v>725</v>
      </c>
      <c r="CU14" s="59" t="s">
        <v>726</v>
      </c>
      <c r="CV14" s="59" t="s">
        <v>727</v>
      </c>
      <c r="CW14" s="59" t="s">
        <v>772</v>
      </c>
      <c r="CY14" s="59" t="s">
        <v>721</v>
      </c>
      <c r="CZ14" s="59" t="s">
        <v>722</v>
      </c>
      <c r="DA14" s="59" t="s">
        <v>723</v>
      </c>
      <c r="DB14" s="59" t="s">
        <v>772</v>
      </c>
      <c r="DD14" s="59" t="s">
        <v>705</v>
      </c>
      <c r="DE14" s="59" t="s">
        <v>706</v>
      </c>
      <c r="DF14" s="59" t="s">
        <v>788</v>
      </c>
      <c r="DG14" s="59" t="s">
        <v>772</v>
      </c>
      <c r="DI14" s="59" t="s">
        <v>710</v>
      </c>
      <c r="DJ14" s="59" t="s">
        <v>711</v>
      </c>
      <c r="DK14" s="59" t="s">
        <v>790</v>
      </c>
      <c r="DL14" s="59" t="s">
        <v>772</v>
      </c>
      <c r="DN14" s="59" t="s">
        <v>693</v>
      </c>
      <c r="DO14" s="59" t="s">
        <v>694</v>
      </c>
      <c r="DP14" s="59" t="s">
        <v>770</v>
      </c>
      <c r="DQ14" s="59" t="s">
        <v>772</v>
      </c>
      <c r="DS14" s="59" t="s">
        <v>663</v>
      </c>
      <c r="DT14" s="59" t="s">
        <v>664</v>
      </c>
      <c r="DU14" s="59" t="s">
        <v>665</v>
      </c>
      <c r="DV14" s="59" t="s">
        <v>670</v>
      </c>
      <c r="DX14" s="59" t="s">
        <v>756</v>
      </c>
      <c r="DY14" s="59" t="s">
        <v>757</v>
      </c>
      <c r="DZ14" s="59" t="s">
        <v>758</v>
      </c>
      <c r="EA14" s="59" t="str">
        <f>DV14</f>
        <v>Aktywa ogółem na dzień 
31 grudnia 2021 / Total assets as of 31.12.2021</v>
      </c>
      <c r="EC14" s="59" t="s">
        <v>647</v>
      </c>
      <c r="ED14" s="59" t="s">
        <v>648</v>
      </c>
      <c r="EE14" s="59" t="s">
        <v>649</v>
      </c>
      <c r="EF14" s="59" t="s">
        <v>650</v>
      </c>
      <c r="EH14" s="59" t="s">
        <v>651</v>
      </c>
      <c r="EI14" s="59" t="s">
        <v>652</v>
      </c>
      <c r="EJ14" s="59" t="s">
        <v>653</v>
      </c>
      <c r="EK14" s="59" t="str">
        <f>EF14</f>
        <v>Aktywa ogółem na dzień 
30 września 2021 / Total assets as of 30.09.2021</v>
      </c>
      <c r="EM14" s="59" t="s">
        <v>713</v>
      </c>
      <c r="EN14" s="59" t="s">
        <v>639</v>
      </c>
      <c r="EO14" s="59" t="s">
        <v>714</v>
      </c>
      <c r="EP14" s="59" t="s">
        <v>641</v>
      </c>
      <c r="ER14" s="59" t="s">
        <v>635</v>
      </c>
      <c r="ES14" s="59" t="s">
        <v>636</v>
      </c>
      <c r="ET14" s="59" t="s">
        <v>709</v>
      </c>
      <c r="EU14" s="59" t="s">
        <v>641</v>
      </c>
      <c r="EW14" s="59" t="s">
        <v>627</v>
      </c>
      <c r="EX14" s="59" t="s">
        <v>694</v>
      </c>
      <c r="EY14" s="59" t="s">
        <v>695</v>
      </c>
      <c r="EZ14" s="59" t="s">
        <v>630</v>
      </c>
      <c r="FB14" s="59" t="s">
        <v>607</v>
      </c>
      <c r="FC14" s="59" t="s">
        <v>608</v>
      </c>
      <c r="FD14" s="59" t="s">
        <v>609</v>
      </c>
      <c r="FE14" s="59" t="s">
        <v>616</v>
      </c>
      <c r="FG14" s="59" t="s">
        <v>667</v>
      </c>
      <c r="FH14" s="59" t="s">
        <v>668</v>
      </c>
      <c r="FI14" s="59" t="s">
        <v>669</v>
      </c>
      <c r="FJ14" s="59" t="s">
        <v>616</v>
      </c>
      <c r="FL14" s="59" t="s">
        <v>594</v>
      </c>
      <c r="FM14" s="59" t="s">
        <v>595</v>
      </c>
      <c r="FN14" s="59" t="s">
        <v>596</v>
      </c>
      <c r="FO14" s="59" t="s">
        <v>597</v>
      </c>
      <c r="FQ14" s="59" t="s">
        <v>598</v>
      </c>
      <c r="FR14" s="59" t="s">
        <v>599</v>
      </c>
      <c r="FS14" s="59" t="s">
        <v>600</v>
      </c>
      <c r="FT14" s="59" t="s">
        <v>597</v>
      </c>
      <c r="FV14" s="59" t="s">
        <v>642</v>
      </c>
      <c r="FW14" s="59" t="s">
        <v>588</v>
      </c>
      <c r="FX14" s="59" t="s">
        <v>589</v>
      </c>
      <c r="FY14" s="59" t="s">
        <v>643</v>
      </c>
      <c r="GA14" s="59" t="s">
        <v>584</v>
      </c>
      <c r="GB14" s="59" t="s">
        <v>585</v>
      </c>
      <c r="GC14" s="59" t="s">
        <v>586</v>
      </c>
      <c r="GD14" s="59" t="s">
        <v>643</v>
      </c>
      <c r="GF14" s="59" t="s">
        <v>574</v>
      </c>
      <c r="GG14" s="59" t="s">
        <v>575</v>
      </c>
      <c r="GH14" s="59" t="s">
        <v>576</v>
      </c>
      <c r="GI14" s="59" t="s">
        <v>577</v>
      </c>
      <c r="GK14" s="59" t="s">
        <v>568</v>
      </c>
      <c r="GL14" s="59" t="s">
        <v>569</v>
      </c>
      <c r="GM14" s="59" t="s">
        <v>570</v>
      </c>
      <c r="GN14" s="59" t="s">
        <v>567</v>
      </c>
      <c r="GP14" s="59" t="s">
        <v>613</v>
      </c>
      <c r="GQ14" s="59" t="s">
        <v>614</v>
      </c>
      <c r="GR14" s="59" t="s">
        <v>615</v>
      </c>
      <c r="GS14" s="59" t="s">
        <v>567</v>
      </c>
      <c r="GU14" s="59" t="s">
        <v>553</v>
      </c>
      <c r="GV14" s="59" t="s">
        <v>554</v>
      </c>
      <c r="GW14" s="59" t="s">
        <v>555</v>
      </c>
      <c r="GX14" s="59" t="s">
        <v>552</v>
      </c>
      <c r="GZ14" s="59" t="s">
        <v>549</v>
      </c>
      <c r="HA14" s="59" t="s">
        <v>550</v>
      </c>
      <c r="HB14" s="59" t="s">
        <v>551</v>
      </c>
      <c r="HC14" s="59" t="s">
        <v>552</v>
      </c>
      <c r="HE14" s="59" t="s">
        <v>537</v>
      </c>
      <c r="HF14" s="59" t="s">
        <v>538</v>
      </c>
      <c r="HG14" s="59" t="s">
        <v>539</v>
      </c>
      <c r="HH14" s="59" t="s">
        <v>591</v>
      </c>
      <c r="HJ14" s="59" t="s">
        <v>541</v>
      </c>
      <c r="HK14" s="59" t="s">
        <v>542</v>
      </c>
      <c r="HL14" s="59" t="s">
        <v>543</v>
      </c>
      <c r="HM14" s="59" t="s">
        <v>591</v>
      </c>
      <c r="HO14" s="59" t="s">
        <v>527</v>
      </c>
      <c r="HP14" s="59" t="s">
        <v>528</v>
      </c>
      <c r="HQ14" s="59" t="s">
        <v>529</v>
      </c>
      <c r="HR14" s="59" t="s">
        <v>530</v>
      </c>
      <c r="HT14" s="338" t="s">
        <v>514</v>
      </c>
      <c r="HU14" s="338" t="s">
        <v>515</v>
      </c>
      <c r="HV14" s="338" t="s">
        <v>516</v>
      </c>
      <c r="HW14" s="338" t="s">
        <v>517</v>
      </c>
      <c r="HY14" s="338" t="s">
        <v>520</v>
      </c>
      <c r="HZ14" s="338" t="s">
        <v>521</v>
      </c>
      <c r="IA14" s="338" t="s">
        <v>522</v>
      </c>
      <c r="IB14" s="338" t="s">
        <v>517</v>
      </c>
      <c r="ID14" s="338" t="s">
        <v>499</v>
      </c>
      <c r="IE14" s="338" t="s">
        <v>500</v>
      </c>
      <c r="IF14" s="338" t="s">
        <v>501</v>
      </c>
      <c r="IG14" s="338" t="s">
        <v>502</v>
      </c>
      <c r="II14" s="338" t="s">
        <v>503</v>
      </c>
      <c r="IJ14" s="338" t="s">
        <v>504</v>
      </c>
      <c r="IK14" s="338" t="s">
        <v>505</v>
      </c>
      <c r="IL14" s="338" t="s">
        <v>502</v>
      </c>
      <c r="IO14" s="338" t="s">
        <v>490</v>
      </c>
      <c r="IP14" s="338" t="s">
        <v>491</v>
      </c>
      <c r="IQ14" s="338" t="s">
        <v>492</v>
      </c>
      <c r="IR14" s="338" t="s">
        <v>458</v>
      </c>
      <c r="IT14" s="338" t="s">
        <v>540</v>
      </c>
      <c r="IU14" s="338" t="s">
        <v>456</v>
      </c>
      <c r="IV14" s="338" t="s">
        <v>457</v>
      </c>
      <c r="IW14" s="338" t="s">
        <v>458</v>
      </c>
      <c r="IY14" s="338" t="s">
        <v>107</v>
      </c>
      <c r="IZ14" s="338" t="s">
        <v>108</v>
      </c>
      <c r="JA14" s="338" t="s">
        <v>110</v>
      </c>
      <c r="JB14" s="338" t="s">
        <v>112</v>
      </c>
      <c r="JD14" s="338" t="s">
        <v>199</v>
      </c>
      <c r="JE14" s="338" t="s">
        <v>518</v>
      </c>
      <c r="JF14" s="338" t="s">
        <v>519</v>
      </c>
      <c r="JG14" s="338" t="s">
        <v>119</v>
      </c>
      <c r="JI14" s="338" t="s">
        <v>114</v>
      </c>
      <c r="JJ14" s="338" t="s">
        <v>523</v>
      </c>
      <c r="JK14" s="338" t="s">
        <v>117</v>
      </c>
      <c r="JL14" s="338" t="s">
        <v>119</v>
      </c>
      <c r="JN14" s="338" t="s">
        <v>361</v>
      </c>
      <c r="JO14" s="338" t="s">
        <v>506</v>
      </c>
      <c r="JP14" s="338" t="s">
        <v>507</v>
      </c>
      <c r="JQ14" s="338" t="s">
        <v>119</v>
      </c>
      <c r="JS14" s="338" t="s">
        <v>127</v>
      </c>
      <c r="JT14" s="338" t="s">
        <v>508</v>
      </c>
      <c r="JU14" s="338" t="s">
        <v>130</v>
      </c>
      <c r="JV14" s="338" t="s">
        <v>119</v>
      </c>
      <c r="JX14" s="176" t="s">
        <v>142</v>
      </c>
      <c r="JY14" s="176" t="s">
        <v>494</v>
      </c>
      <c r="JZ14" s="176" t="s">
        <v>146</v>
      </c>
      <c r="KA14" s="176" t="s">
        <v>119</v>
      </c>
      <c r="KC14" s="176" t="s">
        <v>134</v>
      </c>
      <c r="KD14" s="176" t="s">
        <v>493</v>
      </c>
      <c r="KE14" s="176" t="s">
        <v>138</v>
      </c>
      <c r="KF14" s="176" t="s">
        <v>119</v>
      </c>
      <c r="KH14" s="176" t="s">
        <v>148</v>
      </c>
      <c r="KI14" s="176" t="s">
        <v>109</v>
      </c>
      <c r="KJ14" s="176" t="s">
        <v>111</v>
      </c>
      <c r="KK14" s="176" t="s">
        <v>119</v>
      </c>
      <c r="KM14" s="176" t="s">
        <v>120</v>
      </c>
      <c r="KN14" s="176" t="s">
        <v>123</v>
      </c>
      <c r="KO14" s="176" t="s">
        <v>124</v>
      </c>
      <c r="KP14" s="176" t="s">
        <v>125</v>
      </c>
      <c r="KR14" s="176" t="s">
        <v>198</v>
      </c>
      <c r="KS14" s="176" t="s">
        <v>116</v>
      </c>
      <c r="KT14" s="176" t="s">
        <v>118</v>
      </c>
      <c r="KU14" s="176" t="s">
        <v>141</v>
      </c>
      <c r="KV14" s="156"/>
      <c r="KW14" s="176" t="s">
        <v>362</v>
      </c>
      <c r="KX14" s="176" t="s">
        <v>363</v>
      </c>
      <c r="KY14" s="176" t="s">
        <v>366</v>
      </c>
      <c r="KZ14" s="176" t="s">
        <v>133</v>
      </c>
      <c r="LA14" s="176"/>
      <c r="LB14" s="176" t="s">
        <v>197</v>
      </c>
      <c r="LC14" s="176" t="s">
        <v>129</v>
      </c>
      <c r="LD14" s="176" t="s">
        <v>131</v>
      </c>
      <c r="LE14" s="176" t="s">
        <v>133</v>
      </c>
      <c r="LF14" s="156"/>
      <c r="LG14" s="176" t="s">
        <v>143</v>
      </c>
      <c r="LH14" s="176" t="s">
        <v>145</v>
      </c>
      <c r="LI14" s="176" t="s">
        <v>147</v>
      </c>
      <c r="LJ14" s="176" t="s">
        <v>125</v>
      </c>
      <c r="LK14" s="156"/>
      <c r="LL14" s="176" t="s">
        <v>135</v>
      </c>
      <c r="LM14" s="176" t="s">
        <v>137</v>
      </c>
      <c r="LN14" s="176" t="s">
        <v>139</v>
      </c>
      <c r="LO14" s="176" t="s">
        <v>141</v>
      </c>
      <c r="LP14" s="156"/>
      <c r="LQ14" s="176" t="s">
        <v>149</v>
      </c>
      <c r="LR14" s="176" t="s">
        <v>151</v>
      </c>
      <c r="LS14" s="176" t="s">
        <v>152</v>
      </c>
      <c r="LT14" s="176" t="s">
        <v>141</v>
      </c>
      <c r="LU14" s="156"/>
      <c r="LV14" s="176" t="s">
        <v>154</v>
      </c>
      <c r="LW14" s="176" t="s">
        <v>155</v>
      </c>
      <c r="LX14" s="176" t="s">
        <v>156</v>
      </c>
      <c r="LY14" s="176" t="s">
        <v>157</v>
      </c>
      <c r="LZ14" s="156"/>
      <c r="MA14" s="176" t="s">
        <v>348</v>
      </c>
      <c r="MB14" s="176" t="s">
        <v>328</v>
      </c>
      <c r="MC14" s="176" t="s">
        <v>329</v>
      </c>
      <c r="MD14" s="176" t="s">
        <v>157</v>
      </c>
      <c r="ME14" s="156"/>
      <c r="MF14" s="176" t="s">
        <v>336</v>
      </c>
      <c r="MG14" s="176" t="s">
        <v>335</v>
      </c>
      <c r="MH14" s="176" t="s">
        <v>334</v>
      </c>
      <c r="MI14" s="176" t="s">
        <v>158</v>
      </c>
      <c r="MJ14" s="156"/>
      <c r="MK14" s="176" t="s">
        <v>339</v>
      </c>
      <c r="ML14" s="176" t="s">
        <v>340</v>
      </c>
      <c r="MM14" s="176" t="s">
        <v>471</v>
      </c>
      <c r="MN14" s="176" t="s">
        <v>158</v>
      </c>
      <c r="MO14" s="156"/>
      <c r="MP14" s="176" t="s">
        <v>341</v>
      </c>
      <c r="MQ14" s="176" t="s">
        <v>469</v>
      </c>
      <c r="MR14" s="176" t="s">
        <v>467</v>
      </c>
      <c r="MS14" s="176" t="s">
        <v>160</v>
      </c>
      <c r="MT14" s="156"/>
      <c r="MU14" s="176" t="s">
        <v>345</v>
      </c>
      <c r="MV14" s="176" t="s">
        <v>344</v>
      </c>
      <c r="MW14" s="176" t="s">
        <v>462</v>
      </c>
      <c r="MX14" s="176" t="s">
        <v>160</v>
      </c>
      <c r="MY14" s="156"/>
      <c r="MZ14" s="176" t="s">
        <v>347</v>
      </c>
      <c r="NA14" s="176" t="s">
        <v>355</v>
      </c>
      <c r="NB14" s="176" t="s">
        <v>460</v>
      </c>
      <c r="NC14" s="176" t="s">
        <v>161</v>
      </c>
      <c r="ND14" s="156"/>
      <c r="NE14" s="176" t="s">
        <v>167</v>
      </c>
      <c r="NF14" s="159" t="s">
        <v>168</v>
      </c>
      <c r="NG14" s="159" t="s">
        <v>169</v>
      </c>
      <c r="NH14" s="176" t="s">
        <v>170</v>
      </c>
      <c r="NI14" s="156"/>
      <c r="NJ14" s="176" t="s">
        <v>482</v>
      </c>
      <c r="NK14" s="159" t="s">
        <v>480</v>
      </c>
      <c r="NL14" s="159" t="s">
        <v>478</v>
      </c>
      <c r="NM14" s="176" t="s">
        <v>170</v>
      </c>
      <c r="NN14" s="177"/>
      <c r="NO14" s="176" t="s">
        <v>350</v>
      </c>
      <c r="NP14" s="176" t="s">
        <v>351</v>
      </c>
      <c r="NQ14" s="159" t="s">
        <v>352</v>
      </c>
      <c r="NR14" s="176" t="s">
        <v>171</v>
      </c>
      <c r="NS14" s="156"/>
      <c r="NT14" s="176" t="s">
        <v>476</v>
      </c>
      <c r="NU14" s="176" t="s">
        <v>474</v>
      </c>
      <c r="NV14" s="159" t="s">
        <v>472</v>
      </c>
      <c r="NW14" s="176" t="s">
        <v>171</v>
      </c>
      <c r="NX14" s="156"/>
      <c r="NY14" s="176" t="s">
        <v>354</v>
      </c>
      <c r="NZ14" s="176" t="s">
        <v>470</v>
      </c>
      <c r="OA14" s="159" t="s">
        <v>468</v>
      </c>
      <c r="OB14" s="176" t="s">
        <v>173</v>
      </c>
      <c r="OC14" s="156"/>
      <c r="OD14" s="176" t="s">
        <v>466</v>
      </c>
      <c r="OE14" s="176" t="s">
        <v>464</v>
      </c>
      <c r="OF14" s="176" t="s">
        <v>463</v>
      </c>
      <c r="OG14" s="176" t="s">
        <v>173</v>
      </c>
      <c r="OH14" s="156"/>
      <c r="OI14" s="176" t="s">
        <v>356</v>
      </c>
      <c r="OJ14" s="159" t="s">
        <v>357</v>
      </c>
      <c r="OK14" s="159" t="s">
        <v>358</v>
      </c>
      <c r="OL14" s="176" t="s">
        <v>175</v>
      </c>
      <c r="OM14" s="156"/>
      <c r="ON14" s="172" t="s">
        <v>86</v>
      </c>
      <c r="OO14" s="169">
        <v>261063</v>
      </c>
      <c r="OP14" s="169">
        <v>22158</v>
      </c>
      <c r="OQ14" s="169">
        <v>15473</v>
      </c>
      <c r="OR14" s="169">
        <v>191933</v>
      </c>
      <c r="OS14" s="156"/>
      <c r="OT14" s="169">
        <v>203834</v>
      </c>
      <c r="OU14" s="169">
        <v>22996</v>
      </c>
      <c r="OV14" s="169">
        <v>17890</v>
      </c>
      <c r="OW14" s="169">
        <v>160564</v>
      </c>
      <c r="OX14" s="156"/>
      <c r="OY14" s="169">
        <v>125080</v>
      </c>
      <c r="OZ14" s="169">
        <v>11886</v>
      </c>
      <c r="PA14" s="169">
        <v>8501</v>
      </c>
      <c r="PB14" s="169">
        <v>182892</v>
      </c>
      <c r="PC14" s="156"/>
      <c r="PD14" s="156"/>
      <c r="PE14" s="156"/>
      <c r="PF14" s="156"/>
      <c r="PG14" s="156"/>
      <c r="PH14" s="156"/>
      <c r="PI14" s="156"/>
      <c r="PJ14" s="156"/>
      <c r="PK14" s="156"/>
      <c r="PL14" s="156"/>
      <c r="PM14" s="156"/>
      <c r="PN14" s="156"/>
      <c r="PO14" s="156"/>
      <c r="PP14" s="156"/>
      <c r="PQ14" s="156"/>
      <c r="PR14" s="156"/>
      <c r="PS14" s="156"/>
      <c r="PT14" s="156"/>
      <c r="PU14" s="156"/>
      <c r="PV14" s="156"/>
      <c r="PW14" s="156"/>
      <c r="PX14" s="156"/>
      <c r="PY14" s="156"/>
      <c r="PZ14" s="156"/>
      <c r="QA14" s="156"/>
      <c r="QB14" s="156"/>
      <c r="QC14" s="156"/>
      <c r="QD14" s="156"/>
      <c r="QE14" s="156"/>
      <c r="QF14" s="156"/>
      <c r="QG14" s="156"/>
      <c r="QH14" s="156"/>
      <c r="QI14" s="156"/>
      <c r="QJ14" s="156"/>
      <c r="QK14" s="156"/>
      <c r="QL14" s="156"/>
      <c r="QM14" s="156"/>
      <c r="QN14" s="156"/>
      <c r="QO14" s="156"/>
      <c r="QP14" s="156"/>
      <c r="QQ14" s="156"/>
      <c r="QR14" s="156"/>
      <c r="QS14" s="156"/>
      <c r="QT14" s="156"/>
    </row>
    <row r="15" spans="1:462">
      <c r="A15" s="304" t="s">
        <v>75</v>
      </c>
      <c r="C15" s="756"/>
      <c r="D15" s="756"/>
      <c r="E15" s="756"/>
      <c r="F15" s="756"/>
      <c r="H15" s="756"/>
      <c r="I15" s="756"/>
      <c r="J15" s="756"/>
      <c r="K15" s="756"/>
      <c r="M15" s="667"/>
      <c r="N15" s="667"/>
      <c r="O15" s="667"/>
      <c r="P15" s="667"/>
      <c r="R15" s="667"/>
      <c r="S15" s="667"/>
      <c r="T15" s="667"/>
      <c r="U15" s="667"/>
      <c r="W15" s="667"/>
      <c r="X15" s="667"/>
      <c r="Y15" s="667"/>
      <c r="Z15" s="667"/>
      <c r="AB15" s="667"/>
      <c r="AC15" s="667"/>
      <c r="AD15" s="667"/>
      <c r="AE15" s="667"/>
      <c r="AG15" s="667"/>
      <c r="AH15" s="667"/>
      <c r="AI15" s="667"/>
      <c r="AJ15" s="667"/>
      <c r="AL15" s="667"/>
      <c r="AM15" s="667"/>
      <c r="AN15" s="667"/>
      <c r="AO15" s="667"/>
      <c r="AQ15" s="667"/>
      <c r="AR15" s="667"/>
      <c r="AS15" s="667"/>
      <c r="AT15" s="667"/>
      <c r="AV15" s="667"/>
      <c r="AW15" s="667"/>
      <c r="AX15" s="667"/>
      <c r="AY15" s="667"/>
      <c r="BA15" s="667"/>
      <c r="BB15" s="667"/>
      <c r="BC15" s="667"/>
      <c r="BD15" s="667"/>
      <c r="BF15" s="667"/>
      <c r="BG15" s="667"/>
      <c r="BH15" s="667"/>
      <c r="BI15" s="667"/>
      <c r="BK15" s="667"/>
      <c r="BL15" s="667"/>
      <c r="BM15" s="667"/>
      <c r="BN15" s="667"/>
      <c r="BP15" s="667"/>
      <c r="BQ15" s="667"/>
      <c r="BR15" s="667"/>
      <c r="BS15" s="667"/>
      <c r="BU15" s="667"/>
      <c r="BV15" s="667"/>
      <c r="BW15" s="667"/>
      <c r="BX15" s="667"/>
      <c r="BZ15" s="667"/>
      <c r="CA15" s="667"/>
      <c r="CB15" s="667"/>
      <c r="CC15" s="667"/>
      <c r="CE15" s="667"/>
      <c r="CF15" s="667"/>
      <c r="CG15" s="667"/>
      <c r="CH15" s="667"/>
      <c r="CJ15" s="667"/>
      <c r="CK15" s="667"/>
      <c r="CL15" s="667"/>
      <c r="CM15" s="667"/>
      <c r="CO15" s="667"/>
      <c r="CP15" s="667"/>
      <c r="CQ15" s="667"/>
      <c r="CR15" s="667"/>
      <c r="CT15" s="667"/>
      <c r="CU15" s="667"/>
      <c r="CV15" s="667"/>
      <c r="CW15" s="667"/>
      <c r="CY15" s="667"/>
      <c r="CZ15" s="667"/>
      <c r="DA15" s="667"/>
      <c r="DB15" s="667"/>
      <c r="DD15" s="667"/>
      <c r="DE15" s="667"/>
      <c r="DF15" s="667"/>
      <c r="DG15" s="667"/>
      <c r="DI15" s="667"/>
      <c r="DJ15" s="667"/>
      <c r="DK15" s="667"/>
      <c r="DL15" s="667"/>
      <c r="DN15" s="667"/>
      <c r="DO15" s="667"/>
      <c r="DP15" s="667"/>
      <c r="DQ15" s="667"/>
      <c r="DS15" s="667"/>
      <c r="DT15" s="667"/>
      <c r="DU15" s="667"/>
      <c r="DV15" s="667"/>
      <c r="DX15" s="667"/>
      <c r="DY15" s="667"/>
      <c r="DZ15" s="667"/>
      <c r="EA15" s="667"/>
      <c r="EC15" s="334">
        <v>410000</v>
      </c>
      <c r="ED15" s="334">
        <v>-128000</v>
      </c>
      <c r="EE15" s="334">
        <v>-139000</v>
      </c>
      <c r="EF15" s="334">
        <f t="shared" ref="EF15:EF21" si="28">EK15</f>
        <v>899000</v>
      </c>
      <c r="EH15" s="334">
        <v>990000</v>
      </c>
      <c r="EI15" s="334">
        <v>-174000</v>
      </c>
      <c r="EJ15" s="334">
        <v>-460000</v>
      </c>
      <c r="EK15" s="334">
        <v>899000</v>
      </c>
      <c r="EM15" s="334">
        <f t="shared" ref="EM15:EO21" si="29">ER15-EW15</f>
        <v>277000</v>
      </c>
      <c r="EN15" s="334">
        <f t="shared" si="29"/>
        <v>-32000</v>
      </c>
      <c r="EO15" s="334">
        <f t="shared" si="29"/>
        <v>-271000</v>
      </c>
      <c r="EP15" s="334">
        <v>899000</v>
      </c>
      <c r="ER15" s="334">
        <v>580000</v>
      </c>
      <c r="ES15" s="334">
        <v>-46000</v>
      </c>
      <c r="ET15" s="334">
        <v>-321000</v>
      </c>
      <c r="EU15" s="334">
        <v>899000</v>
      </c>
      <c r="EW15" s="334">
        <v>303000</v>
      </c>
      <c r="EX15" s="334">
        <v>-14000</v>
      </c>
      <c r="EY15" s="334">
        <v>-50000</v>
      </c>
      <c r="EZ15" s="334">
        <v>899000</v>
      </c>
      <c r="FB15" s="334">
        <f t="shared" ref="FB15:FD21" si="30">FG15-FQ15</f>
        <v>263276</v>
      </c>
      <c r="FC15" s="334">
        <f t="shared" si="30"/>
        <v>-124594</v>
      </c>
      <c r="FD15" s="334">
        <f t="shared" si="30"/>
        <v>-539254</v>
      </c>
      <c r="FE15" s="334">
        <f t="shared" ref="FE15:FE21" si="31">FJ15</f>
        <v>1116000</v>
      </c>
      <c r="FG15" s="334">
        <v>1052000</v>
      </c>
      <c r="FH15" s="334">
        <v>-157000</v>
      </c>
      <c r="FI15" s="334">
        <v>-887000</v>
      </c>
      <c r="FJ15" s="334">
        <v>1116000</v>
      </c>
      <c r="FL15" s="334">
        <f t="shared" ref="FL15:FN21" si="32">FQ15-GA15</f>
        <v>285753</v>
      </c>
      <c r="FM15" s="334">
        <f t="shared" si="32"/>
        <v>-39185</v>
      </c>
      <c r="FN15" s="334">
        <f t="shared" si="32"/>
        <v>-76441</v>
      </c>
      <c r="FO15" s="334">
        <f t="shared" ref="FO15:FO21" si="33">FT15</f>
        <v>1115883</v>
      </c>
      <c r="FQ15" s="334">
        <v>788724</v>
      </c>
      <c r="FR15" s="334">
        <v>-32406</v>
      </c>
      <c r="FS15" s="334">
        <v>-347746</v>
      </c>
      <c r="FT15" s="334">
        <v>1115883</v>
      </c>
      <c r="FV15" s="334">
        <f t="shared" ref="FV15:FX21" si="34">GA15-GF15</f>
        <v>266547</v>
      </c>
      <c r="FW15" s="334">
        <f t="shared" si="34"/>
        <v>43134</v>
      </c>
      <c r="FX15" s="334">
        <f t="shared" si="34"/>
        <v>-187414</v>
      </c>
      <c r="FY15" s="334">
        <f t="shared" ref="FY15:FY21" si="35">GD15</f>
        <v>1115883</v>
      </c>
      <c r="GA15" s="334">
        <v>502971</v>
      </c>
      <c r="GB15" s="334">
        <v>6779</v>
      </c>
      <c r="GC15" s="334">
        <v>-271305</v>
      </c>
      <c r="GD15" s="334">
        <v>1115883</v>
      </c>
      <c r="GF15" s="334">
        <v>236424</v>
      </c>
      <c r="GG15" s="334">
        <v>-36355</v>
      </c>
      <c r="GH15" s="334">
        <v>-83891</v>
      </c>
      <c r="GI15" s="334">
        <v>1115883</v>
      </c>
      <c r="GK15" s="334">
        <f t="shared" ref="GK15:GM22" si="36">GP15-GZ15</f>
        <v>211025</v>
      </c>
      <c r="GL15" s="334">
        <f t="shared" si="36"/>
        <v>-238231</v>
      </c>
      <c r="GM15" s="334">
        <f t="shared" si="36"/>
        <v>-715619</v>
      </c>
      <c r="GN15" s="334">
        <f t="shared" ref="GN15:GN22" si="37">GS15</f>
        <v>1294329</v>
      </c>
      <c r="GP15" s="334">
        <v>944433</v>
      </c>
      <c r="GQ15" s="334">
        <v>-499865</v>
      </c>
      <c r="GR15" s="334">
        <v>-1391949</v>
      </c>
      <c r="GS15" s="334">
        <v>1294329</v>
      </c>
      <c r="GU15" s="334">
        <v>201718</v>
      </c>
      <c r="GV15" s="334">
        <v>-118709</v>
      </c>
      <c r="GW15" s="334">
        <v>-164999</v>
      </c>
      <c r="GX15" s="334">
        <f t="shared" ref="GX15:GX22" si="38">HC15</f>
        <v>1294329</v>
      </c>
      <c r="GZ15" s="334">
        <v>733408</v>
      </c>
      <c r="HA15" s="334">
        <v>-261634</v>
      </c>
      <c r="HB15" s="334">
        <v>-676330</v>
      </c>
      <c r="HC15" s="334">
        <v>1294329</v>
      </c>
      <c r="HE15" s="60">
        <f t="shared" ref="HE15:HG22" si="39">HJ15-HO15</f>
        <v>239824</v>
      </c>
      <c r="HF15" s="146">
        <f t="shared" si="39"/>
        <v>-98644</v>
      </c>
      <c r="HG15" s="60">
        <f t="shared" si="39"/>
        <v>-415414</v>
      </c>
      <c r="HH15" s="60">
        <v>1294329</v>
      </c>
      <c r="HJ15" s="60">
        <v>531690</v>
      </c>
      <c r="HK15" s="146">
        <v>-142925</v>
      </c>
      <c r="HL15" s="60">
        <v>-511331</v>
      </c>
      <c r="HM15" s="60">
        <v>1294329</v>
      </c>
      <c r="HO15" s="60">
        <v>291866</v>
      </c>
      <c r="HP15" s="146">
        <v>-44281</v>
      </c>
      <c r="HQ15" s="60">
        <v>-95917</v>
      </c>
      <c r="HR15" s="60">
        <v>1294329</v>
      </c>
      <c r="HT15" s="143">
        <v>1266024</v>
      </c>
      <c r="HU15" s="344">
        <v>-90262</v>
      </c>
      <c r="HV15" s="143">
        <v>-1053469</v>
      </c>
      <c r="HW15" s="143">
        <v>1589823</v>
      </c>
      <c r="HY15" s="143">
        <v>314649</v>
      </c>
      <c r="HZ15" s="344">
        <v>-81322</v>
      </c>
      <c r="IA15" s="143">
        <v>-136788</v>
      </c>
      <c r="IB15" s="143">
        <v>1589823</v>
      </c>
      <c r="ID15" s="143">
        <v>951375</v>
      </c>
      <c r="IE15" s="344">
        <v>-8940</v>
      </c>
      <c r="IF15" s="143">
        <v>-916681</v>
      </c>
      <c r="IG15" s="143">
        <v>1589823</v>
      </c>
      <c r="II15" s="143">
        <v>272589</v>
      </c>
      <c r="IJ15" s="344">
        <v>-11217</v>
      </c>
      <c r="IK15" s="143">
        <v>-50515</v>
      </c>
      <c r="IL15" s="143">
        <v>1589823</v>
      </c>
      <c r="IO15" s="143">
        <v>678786</v>
      </c>
      <c r="IP15" s="344">
        <v>2277</v>
      </c>
      <c r="IQ15" s="143">
        <v>-866166</v>
      </c>
      <c r="IR15" s="143">
        <v>1589823</v>
      </c>
      <c r="IT15" s="143">
        <v>293543</v>
      </c>
      <c r="IU15" s="344">
        <v>-41474</v>
      </c>
      <c r="IV15" s="143">
        <v>-842790</v>
      </c>
      <c r="IW15" s="143">
        <v>1589823</v>
      </c>
      <c r="IY15" s="143">
        <v>385243</v>
      </c>
      <c r="IZ15" s="344">
        <v>43751</v>
      </c>
      <c r="JA15" s="143">
        <v>-23376</v>
      </c>
      <c r="JB15" s="143">
        <v>1589823</v>
      </c>
      <c r="JD15" s="143">
        <v>1541425</v>
      </c>
      <c r="JE15" s="344">
        <v>-83036</v>
      </c>
      <c r="JF15" s="143">
        <v>-211070</v>
      </c>
      <c r="JG15" s="143">
        <v>2085538</v>
      </c>
      <c r="JI15" s="339">
        <v>422958</v>
      </c>
      <c r="JJ15" s="340">
        <v>-41352</v>
      </c>
      <c r="JK15" s="339">
        <v>-75834</v>
      </c>
      <c r="JL15" s="339">
        <v>2085538</v>
      </c>
      <c r="JN15" s="143">
        <v>1118467</v>
      </c>
      <c r="JO15" s="344">
        <v>-41684</v>
      </c>
      <c r="JP15" s="143">
        <v>-135236</v>
      </c>
      <c r="JQ15" s="143">
        <v>2085538</v>
      </c>
      <c r="JS15" s="143">
        <v>336783</v>
      </c>
      <c r="JT15" s="344">
        <v>-36968</v>
      </c>
      <c r="JU15" s="143">
        <v>-69420</v>
      </c>
      <c r="JV15" s="143">
        <v>2085538</v>
      </c>
      <c r="JX15" s="155">
        <v>781684</v>
      </c>
      <c r="JY15" s="182">
        <v>-4716</v>
      </c>
      <c r="JZ15" s="155">
        <v>-65816</v>
      </c>
      <c r="KA15" s="155">
        <v>2085538</v>
      </c>
      <c r="KC15" s="155">
        <v>397591</v>
      </c>
      <c r="KD15" s="182">
        <v>24737</v>
      </c>
      <c r="KE15" s="155">
        <v>-6171</v>
      </c>
      <c r="KF15" s="155">
        <v>2085538</v>
      </c>
      <c r="KH15" s="155">
        <v>384093</v>
      </c>
      <c r="KI15" s="182">
        <v>-29453</v>
      </c>
      <c r="KJ15" s="155">
        <v>-59645</v>
      </c>
      <c r="KK15" s="155">
        <v>2085538</v>
      </c>
      <c r="KM15" s="155">
        <v>1311143</v>
      </c>
      <c r="KN15" s="155">
        <v>-82130</v>
      </c>
      <c r="KO15" s="155">
        <v>-205163</v>
      </c>
      <c r="KP15" s="155">
        <v>2069263</v>
      </c>
      <c r="KR15" s="155">
        <v>423619</v>
      </c>
      <c r="KS15" s="182">
        <v>54528</v>
      </c>
      <c r="KT15" s="155">
        <v>23540</v>
      </c>
      <c r="KU15" s="155">
        <v>2069263</v>
      </c>
      <c r="KV15" s="156"/>
      <c r="KW15" s="155">
        <v>887524</v>
      </c>
      <c r="KX15" s="155">
        <v>-136658</v>
      </c>
      <c r="KY15" s="155">
        <v>-228703</v>
      </c>
      <c r="KZ15" s="155">
        <v>2069263</v>
      </c>
      <c r="LA15" s="155"/>
      <c r="LB15" s="155">
        <v>375392</v>
      </c>
      <c r="LC15" s="155">
        <v>32590</v>
      </c>
      <c r="LD15" s="155">
        <v>1833</v>
      </c>
      <c r="LE15" s="155">
        <v>2069263</v>
      </c>
      <c r="LF15" s="156"/>
      <c r="LG15" s="155">
        <v>512132</v>
      </c>
      <c r="LH15" s="155">
        <v>-169248</v>
      </c>
      <c r="LI15" s="155">
        <v>-230536</v>
      </c>
      <c r="LJ15" s="155">
        <v>2069263</v>
      </c>
      <c r="LK15" s="156"/>
      <c r="LL15" s="155">
        <f t="shared" ref="LL15:LN21" si="40">LG15-LQ15</f>
        <v>257978</v>
      </c>
      <c r="LM15" s="155">
        <f t="shared" si="40"/>
        <v>-104490</v>
      </c>
      <c r="LN15" s="155">
        <f t="shared" si="40"/>
        <v>-127029</v>
      </c>
      <c r="LO15" s="155">
        <f>LT15</f>
        <v>2069263</v>
      </c>
      <c r="LP15" s="156"/>
      <c r="LQ15" s="155">
        <v>254154</v>
      </c>
      <c r="LR15" s="155">
        <v>-64758</v>
      </c>
      <c r="LS15" s="155">
        <v>-103507</v>
      </c>
      <c r="LT15" s="155">
        <v>2069263</v>
      </c>
      <c r="LU15" s="156"/>
      <c r="LV15" s="155">
        <v>1205944</v>
      </c>
      <c r="LW15" s="155">
        <v>9137</v>
      </c>
      <c r="LX15" s="155">
        <v>-104328</v>
      </c>
      <c r="LY15" s="155">
        <v>1657407</v>
      </c>
      <c r="LZ15" s="156"/>
      <c r="MA15" s="155">
        <v>331130</v>
      </c>
      <c r="MB15" s="155">
        <v>32369</v>
      </c>
      <c r="MC15" s="155">
        <v>3251</v>
      </c>
      <c r="MD15" s="155">
        <v>1657407</v>
      </c>
      <c r="ME15" s="156"/>
      <c r="MF15" s="155">
        <v>874814</v>
      </c>
      <c r="MG15" s="155">
        <v>-23232</v>
      </c>
      <c r="MH15" s="155">
        <v>-107579</v>
      </c>
      <c r="MI15" s="155">
        <v>1657407</v>
      </c>
      <c r="MJ15" s="156"/>
      <c r="MK15" s="155">
        <v>332863</v>
      </c>
      <c r="ML15" s="155">
        <v>134670</v>
      </c>
      <c r="MM15" s="155">
        <v>106686</v>
      </c>
      <c r="MN15" s="155">
        <v>1657407</v>
      </c>
      <c r="MO15" s="156"/>
      <c r="MP15" s="155">
        <v>541951</v>
      </c>
      <c r="MQ15" s="155">
        <v>-157902</v>
      </c>
      <c r="MR15" s="155">
        <v>-214265</v>
      </c>
      <c r="MS15" s="155">
        <v>1657407</v>
      </c>
      <c r="MT15" s="156"/>
      <c r="MU15" s="155">
        <v>273192</v>
      </c>
      <c r="MV15" s="155">
        <v>-113811</v>
      </c>
      <c r="MW15" s="155">
        <v>-142220</v>
      </c>
      <c r="MX15" s="155">
        <v>1657407</v>
      </c>
      <c r="MY15" s="156"/>
      <c r="MZ15" s="155">
        <v>268759</v>
      </c>
      <c r="NA15" s="155">
        <v>-44091</v>
      </c>
      <c r="NB15" s="155">
        <v>-72045</v>
      </c>
      <c r="NC15" s="155">
        <v>1657407</v>
      </c>
      <c r="ND15" s="156"/>
      <c r="NE15" s="155">
        <v>1194024</v>
      </c>
      <c r="NF15" s="155">
        <v>98420</v>
      </c>
      <c r="NG15" s="155">
        <v>-6829</v>
      </c>
      <c r="NH15" s="155">
        <v>1742510</v>
      </c>
      <c r="NI15" s="162"/>
      <c r="NJ15" s="155">
        <v>323181</v>
      </c>
      <c r="NK15" s="155">
        <v>14867</v>
      </c>
      <c r="NL15" s="155">
        <v>-12176</v>
      </c>
      <c r="NM15" s="155">
        <v>1742510</v>
      </c>
      <c r="NN15" s="162"/>
      <c r="NO15" s="155">
        <v>870843</v>
      </c>
      <c r="NP15" s="155">
        <v>83553</v>
      </c>
      <c r="NQ15" s="155">
        <v>5347</v>
      </c>
      <c r="NR15" s="155">
        <v>1742510</v>
      </c>
      <c r="NS15" s="156"/>
      <c r="NT15" s="155">
        <v>341431</v>
      </c>
      <c r="NU15" s="155">
        <v>55252</v>
      </c>
      <c r="NV15" s="155">
        <v>29132</v>
      </c>
      <c r="NW15" s="155">
        <v>1742510</v>
      </c>
      <c r="NX15" s="156"/>
      <c r="NY15" s="155">
        <v>529412</v>
      </c>
      <c r="NZ15" s="155">
        <v>28174</v>
      </c>
      <c r="OA15" s="155">
        <v>-23785</v>
      </c>
      <c r="OB15" s="155">
        <v>1742510</v>
      </c>
      <c r="OC15" s="156"/>
      <c r="OD15" s="155">
        <v>281247</v>
      </c>
      <c r="OE15" s="155">
        <v>8471</v>
      </c>
      <c r="OF15" s="155">
        <v>-16826</v>
      </c>
      <c r="OG15" s="155">
        <v>1742510</v>
      </c>
      <c r="OH15" s="156"/>
      <c r="OI15" s="155">
        <v>248165</v>
      </c>
      <c r="OJ15" s="155">
        <v>19703</v>
      </c>
      <c r="OK15" s="155">
        <v>-6959</v>
      </c>
      <c r="OL15" s="155">
        <v>1742510</v>
      </c>
      <c r="OM15" s="156"/>
      <c r="ON15" s="156"/>
      <c r="OO15" s="156"/>
      <c r="OP15" s="156"/>
      <c r="OQ15" s="156"/>
      <c r="OR15" s="156"/>
      <c r="OS15" s="156"/>
      <c r="OT15" s="156"/>
      <c r="OU15" s="156"/>
      <c r="OV15" s="156"/>
      <c r="OW15" s="156"/>
      <c r="OX15" s="156"/>
      <c r="OY15" s="156"/>
      <c r="OZ15" s="156"/>
      <c r="PA15" s="156"/>
      <c r="PB15" s="156"/>
      <c r="PC15" s="156"/>
      <c r="PD15" s="156"/>
      <c r="PE15" s="156"/>
      <c r="PF15" s="156"/>
      <c r="PG15" s="156"/>
      <c r="PH15" s="156"/>
      <c r="PI15" s="156"/>
      <c r="PJ15" s="156"/>
      <c r="PK15" s="156"/>
      <c r="PL15" s="156"/>
      <c r="PM15" s="156"/>
      <c r="PN15" s="156"/>
      <c r="PO15" s="156"/>
      <c r="PP15" s="156"/>
      <c r="PQ15" s="156"/>
      <c r="PR15" s="156"/>
      <c r="PS15" s="156"/>
      <c r="PT15" s="156"/>
      <c r="PU15" s="156"/>
      <c r="PV15" s="156"/>
      <c r="PW15" s="156"/>
      <c r="PX15" s="156"/>
      <c r="PY15" s="156"/>
      <c r="PZ15" s="156"/>
      <c r="QA15" s="156"/>
      <c r="QB15" s="156"/>
      <c r="QC15" s="156"/>
      <c r="QD15" s="156"/>
      <c r="QE15" s="156"/>
      <c r="QF15" s="156"/>
      <c r="QG15" s="156"/>
      <c r="QH15" s="156"/>
      <c r="QI15" s="156"/>
      <c r="QJ15" s="156"/>
      <c r="QK15" s="156"/>
      <c r="QL15" s="156"/>
      <c r="QM15" s="156"/>
      <c r="QN15" s="156"/>
      <c r="QO15" s="156"/>
      <c r="QP15" s="156"/>
      <c r="QQ15" s="156"/>
      <c r="QR15" s="156"/>
      <c r="QS15" s="156"/>
      <c r="QT15" s="156"/>
    </row>
    <row r="16" spans="1:462">
      <c r="A16" s="460" t="s">
        <v>579</v>
      </c>
      <c r="C16" s="757">
        <f>'[3]segmenty prez'!$F$48*1000</f>
        <v>3912000</v>
      </c>
      <c r="D16" s="757">
        <f>'[3]segmenty prez'!$F$58*1000</f>
        <v>506000</v>
      </c>
      <c r="E16" s="757">
        <f>'[3]segmenty prez'!$F$54*1000</f>
        <v>359000</v>
      </c>
      <c r="F16" s="757">
        <f>'[3]segmenty prez'!$F$67*1000</f>
        <v>4072000</v>
      </c>
      <c r="H16" s="757">
        <f>'[3]segmenty 3 m-ce PREZ'!$F$41*1000</f>
        <v>1692000</v>
      </c>
      <c r="I16" s="757">
        <f>'[3]segmenty 3 m-ce PREZ'!$F$51*1000</f>
        <v>211000</v>
      </c>
      <c r="J16" s="757">
        <f>'[3]segmenty 3 m-ce PREZ'!$F$47*1000</f>
        <v>117000</v>
      </c>
      <c r="K16" s="757">
        <f t="shared" ref="K16:K21" si="41">F16</f>
        <v>4072000</v>
      </c>
      <c r="M16" s="668">
        <f>('[4]segmenty prez'!$F$48)*1000</f>
        <v>2220000</v>
      </c>
      <c r="N16" s="668">
        <f>('[4]segmenty prez'!$F$58)*1000</f>
        <v>295000</v>
      </c>
      <c r="O16" s="668">
        <f>('[4]segmenty prez'!$F$54)*1000</f>
        <v>242000</v>
      </c>
      <c r="P16" s="668">
        <f>('[4]segmenty prez'!$F$67)*1000</f>
        <v>4072000</v>
      </c>
      <c r="R16" s="668">
        <f>([5]segmenty!$B$49)*1000</f>
        <v>8215000</v>
      </c>
      <c r="S16" s="668">
        <f>([5]segmenty!$B$76)*1000</f>
        <v>746000</v>
      </c>
      <c r="T16" s="668">
        <f>([5]segmenty!$B$73)*1000</f>
        <v>-1046000</v>
      </c>
      <c r="U16" s="668">
        <f>([5]segmenty!$B$67)*1000</f>
        <v>4305000</v>
      </c>
      <c r="W16" s="671">
        <f t="shared" ref="W16:W21" si="42">R16-AB16</f>
        <v>2562000</v>
      </c>
      <c r="X16" s="671">
        <f t="shared" ref="X16:X21" si="43">S16-AC16</f>
        <v>437000</v>
      </c>
      <c r="Y16" s="671">
        <f t="shared" ref="Y16:Y21" si="44">T16-AD16</f>
        <v>328000</v>
      </c>
      <c r="Z16" s="671">
        <f t="shared" ref="Z16:Z21" si="45">U16</f>
        <v>4305000</v>
      </c>
      <c r="AB16" s="668">
        <f>'[6]segmenty prez'!$B$45*1000</f>
        <v>5653000</v>
      </c>
      <c r="AC16" s="668">
        <f>'[6]segmenty prez'!$B$52*1000</f>
        <v>309000</v>
      </c>
      <c r="AD16" s="668">
        <f>'[6]segmenty prez'!$B$48*1000</f>
        <v>-1374000</v>
      </c>
      <c r="AE16" s="668">
        <f>'[6]segmenty prez'!$B$61*1000</f>
        <v>4305000</v>
      </c>
      <c r="AG16" s="671">
        <f>([6]segmenty!$B$47)*1000</f>
        <v>5653000</v>
      </c>
      <c r="AH16" s="671">
        <f>([6]segmenty!$B$72)*1000</f>
        <v>309000</v>
      </c>
      <c r="AI16" s="671">
        <f>([6]segmenty!$B$69)*1000</f>
        <v>-1374000</v>
      </c>
      <c r="AJ16" s="671">
        <f t="shared" ref="AJ16:AJ21" si="46">AE16</f>
        <v>4305000</v>
      </c>
      <c r="AL16" s="668">
        <f>'[7]segmenty prez'!$B$45*1000</f>
        <v>3783000</v>
      </c>
      <c r="AM16" s="668">
        <f>'[7]segmenty prez'!$B$52*1000</f>
        <v>156000</v>
      </c>
      <c r="AN16" s="668">
        <f>'[7]segmenty prez'!$B$48*1000</f>
        <v>-1494000</v>
      </c>
      <c r="AO16" s="668">
        <f>'[7]segmenty prez'!$B$61*1000</f>
        <v>4305000</v>
      </c>
      <c r="AQ16" s="668">
        <f>'[7]segmenty 3 m-ce PREZ'!$B$38*1000</f>
        <v>1615000</v>
      </c>
      <c r="AR16" s="668">
        <f>'[7]segmenty 3 m-ce PREZ'!$B$45*1000</f>
        <v>-9000</v>
      </c>
      <c r="AS16" s="668">
        <f>'[7]segmenty 3 m-ce PREZ'!$B$41*1000</f>
        <v>-1596000</v>
      </c>
      <c r="AT16" s="668">
        <f t="shared" ref="AT16:AT21" si="47">AO16</f>
        <v>4305000</v>
      </c>
      <c r="AV16" s="668">
        <f>([8]segmenty!$B$47)*1000</f>
        <v>2168000</v>
      </c>
      <c r="AW16" s="668">
        <f>([8]segmenty!$B$72)*1000</f>
        <v>165000</v>
      </c>
      <c r="AX16" s="668">
        <f>([8]segmenty!$B$69)*1000</f>
        <v>102000</v>
      </c>
      <c r="AY16" s="668">
        <f>([8]segmenty!$B$63)*1000</f>
        <v>4305000</v>
      </c>
      <c r="BA16" s="668">
        <f>([9]segmenty!$B$47)*1000</f>
        <v>11223000</v>
      </c>
      <c r="BB16" s="668">
        <f>([9]segmenty!$B$72)*1000</f>
        <v>1270000</v>
      </c>
      <c r="BC16" s="668">
        <f>([9]segmenty!$B$69)*1000</f>
        <v>662000</v>
      </c>
      <c r="BD16" s="668">
        <f>([9]segmenty!$B$63)*1000</f>
        <v>7018000</v>
      </c>
      <c r="BF16" s="668">
        <f>BA16-BK16</f>
        <v>3034000</v>
      </c>
      <c r="BG16" s="668">
        <f t="shared" ref="BG16:BH23" si="48">BB16-BL16</f>
        <v>394000</v>
      </c>
      <c r="BH16" s="668">
        <f t="shared" si="48"/>
        <v>57000</v>
      </c>
      <c r="BI16" s="668">
        <f t="shared" ref="BI16:BI23" si="49">BD16</f>
        <v>7018000</v>
      </c>
      <c r="BK16" s="668">
        <f>([10]segmenty!$B$47)*1000</f>
        <v>8189000</v>
      </c>
      <c r="BL16" s="668">
        <f>([10]segmenty!$B$72)*1000</f>
        <v>876000</v>
      </c>
      <c r="BM16" s="668">
        <f>([10]segmenty!$B$69)*1000</f>
        <v>605000</v>
      </c>
      <c r="BN16" s="668">
        <f>([10]segmenty!$B$63)*1000</f>
        <v>7018000</v>
      </c>
      <c r="BP16" s="668">
        <f>('[6]segmenty 3 m-ce PREZ'!$B$38)*1000</f>
        <v>1870000</v>
      </c>
      <c r="BQ16" s="668">
        <f>('[6]segmenty 3 m-ce PREZ'!$B$45)*1000</f>
        <v>153000</v>
      </c>
      <c r="BR16" s="668">
        <f>('[6]segmenty 3 m-ce PREZ'!$B$41)*1000</f>
        <v>120000</v>
      </c>
      <c r="BS16" s="668">
        <f t="shared" ref="BS16:BS21" si="50">BN16</f>
        <v>7018000</v>
      </c>
      <c r="BU16" s="668">
        <v>5734000</v>
      </c>
      <c r="BV16" s="668">
        <v>758000</v>
      </c>
      <c r="BW16" s="668">
        <v>580000</v>
      </c>
      <c r="BX16" s="668">
        <v>7018000</v>
      </c>
      <c r="BZ16" s="668">
        <v>2444000</v>
      </c>
      <c r="CA16" s="668">
        <v>427000</v>
      </c>
      <c r="CB16" s="668">
        <v>334000</v>
      </c>
      <c r="CC16" s="668">
        <f t="shared" ref="CC16:CC21" si="51">BX16</f>
        <v>7018000</v>
      </c>
      <c r="CE16" s="668">
        <v>3290000</v>
      </c>
      <c r="CF16" s="668">
        <f>[11]segmenty!$B$72*1000-127000</f>
        <v>331000</v>
      </c>
      <c r="CG16" s="668">
        <f>[11]segmenty!$B$69*1000-100000</f>
        <v>246000</v>
      </c>
      <c r="CH16" s="668">
        <f>[11]segmenty!$B$63*1000</f>
        <v>10023000</v>
      </c>
      <c r="CJ16" s="668">
        <f>([12]segmenty!$B$48)*1000</f>
        <v>11126000</v>
      </c>
      <c r="CK16" s="668">
        <f>([12]segmenty!$B$73)*1000</f>
        <v>-779000</v>
      </c>
      <c r="CL16" s="668">
        <f>([12]segmenty!$B$70)*1000</f>
        <v>-1307000</v>
      </c>
      <c r="CM16" s="668">
        <f>([12]segmenty!$B$64)*1000</f>
        <v>10157000</v>
      </c>
      <c r="CO16" s="668">
        <f t="shared" ref="CO16:CQ22" si="52">CJ16-CT16</f>
        <v>3454000</v>
      </c>
      <c r="CP16" s="668">
        <f t="shared" si="52"/>
        <v>-111000</v>
      </c>
      <c r="CQ16" s="668">
        <f t="shared" si="52"/>
        <v>-304000</v>
      </c>
      <c r="CR16" s="668">
        <f t="shared" ref="CR16:CR21" si="53">CM16</f>
        <v>10157000</v>
      </c>
      <c r="CT16" s="668">
        <f>([13]segmenty!$B$48)*1000</f>
        <v>7672000</v>
      </c>
      <c r="CU16" s="668">
        <f>([13]segmenty!$B$73)*1000</f>
        <v>-668000</v>
      </c>
      <c r="CV16" s="668">
        <f>([13]segmenty!$B$70)*1000</f>
        <v>-1003000</v>
      </c>
      <c r="CW16" s="668">
        <f>([13]segmenty!$B$64)*1000</f>
        <v>10157000</v>
      </c>
      <c r="CY16" s="668">
        <f>('[13]segmenty 3 m-ce PREZ'!$B$39)*1000</f>
        <v>2253000</v>
      </c>
      <c r="CZ16" s="668">
        <f>('[13]segmenty 3 m-ce PREZ'!$B$46)*1000</f>
        <v>-638000</v>
      </c>
      <c r="DA16" s="668">
        <f>('[13]segmenty 3 m-ce PREZ'!$B$42)*1000</f>
        <v>-751000</v>
      </c>
      <c r="DB16" s="668">
        <f t="shared" ref="DB16:DB21" si="54">CW16</f>
        <v>10157000</v>
      </c>
      <c r="DD16" s="668">
        <f>([14]segmenty!$B$48)*1000</f>
        <v>5419000</v>
      </c>
      <c r="DE16" s="668">
        <f>([14]segmenty!$B$72)*1000</f>
        <v>-30000</v>
      </c>
      <c r="DF16" s="668">
        <f>([14]segmenty!$B$69)*1000</f>
        <v>-252000</v>
      </c>
      <c r="DG16" s="668">
        <f>([14]segmenty!$B$63)*1000</f>
        <v>10157000</v>
      </c>
      <c r="DI16" s="668">
        <f>('[14]segmenty 3 m-ce'!$B$101)*1000</f>
        <v>2363000</v>
      </c>
      <c r="DJ16" s="668">
        <f>('[14]segmenty 3 m-ce'!$B$115)*1000</f>
        <v>-925000</v>
      </c>
      <c r="DK16" s="668">
        <f>('[14]segmenty 3 m-ce'!$B$112)*1000</f>
        <v>-1038000</v>
      </c>
      <c r="DL16" s="668">
        <f t="shared" ref="DL16:DL21" si="55">DQ16</f>
        <v>10157000</v>
      </c>
      <c r="DN16" s="668">
        <f>[15]segmenty!$B$48*1000</f>
        <v>3056000</v>
      </c>
      <c r="DO16" s="668">
        <f>[15]segmenty!$B$71*1000</f>
        <v>895000</v>
      </c>
      <c r="DP16" s="668">
        <f>[15]segmenty!$B$69*1000</f>
        <v>786000</v>
      </c>
      <c r="DQ16" s="668">
        <f>[15]segmenty!$B$63*1000</f>
        <v>10157000</v>
      </c>
      <c r="DS16" s="668">
        <f t="shared" ref="DS16:DU21" si="56">DX16-EH16</f>
        <v>3401000</v>
      </c>
      <c r="DT16" s="668">
        <f t="shared" si="56"/>
        <v>56000</v>
      </c>
      <c r="DU16" s="668">
        <f t="shared" si="56"/>
        <v>-70000</v>
      </c>
      <c r="DV16" s="668">
        <f t="shared" ref="DV16:DV22" si="57">EA16</f>
        <v>8849000</v>
      </c>
      <c r="DX16" s="668">
        <v>9819000</v>
      </c>
      <c r="DY16" s="668">
        <v>1375000</v>
      </c>
      <c r="DZ16" s="668">
        <v>-25000</v>
      </c>
      <c r="EA16" s="668">
        <v>8849000</v>
      </c>
      <c r="EC16" s="461">
        <v>2359000</v>
      </c>
      <c r="ED16" s="461">
        <v>311000</v>
      </c>
      <c r="EE16" s="461">
        <v>204000</v>
      </c>
      <c r="EF16" s="461">
        <f t="shared" si="28"/>
        <v>8849000</v>
      </c>
      <c r="EH16" s="461">
        <v>6418000</v>
      </c>
      <c r="EI16" s="461">
        <v>1319000</v>
      </c>
      <c r="EJ16" s="461">
        <v>45000</v>
      </c>
      <c r="EK16" s="461">
        <v>8849000</v>
      </c>
      <c r="EM16" s="461">
        <f t="shared" si="29"/>
        <v>1751000</v>
      </c>
      <c r="EN16" s="461">
        <f t="shared" si="29"/>
        <v>322000</v>
      </c>
      <c r="EO16" s="461">
        <f t="shared" si="29"/>
        <v>-729000</v>
      </c>
      <c r="EP16" s="461">
        <v>8849000</v>
      </c>
      <c r="ER16" s="461">
        <v>4059000</v>
      </c>
      <c r="ES16" s="461">
        <v>1008000</v>
      </c>
      <c r="ET16" s="461">
        <v>-159000</v>
      </c>
      <c r="EU16" s="461">
        <v>8849000</v>
      </c>
      <c r="EW16" s="461">
        <v>2308000</v>
      </c>
      <c r="EX16" s="461">
        <v>686000</v>
      </c>
      <c r="EY16" s="461">
        <v>570000</v>
      </c>
      <c r="EZ16" s="461">
        <v>8849000</v>
      </c>
      <c r="FB16" s="461">
        <f t="shared" si="30"/>
        <v>1505971</v>
      </c>
      <c r="FC16" s="461">
        <f t="shared" si="30"/>
        <v>206057</v>
      </c>
      <c r="FD16" s="461">
        <f t="shared" si="30"/>
        <v>-2463464</v>
      </c>
      <c r="FE16" s="461">
        <f t="shared" si="31"/>
        <v>10053831.77825</v>
      </c>
      <c r="FG16" s="461">
        <v>4522000</v>
      </c>
      <c r="FH16" s="461">
        <v>344000</v>
      </c>
      <c r="FI16" s="461">
        <v>-3238000</v>
      </c>
      <c r="FJ16" s="461">
        <v>10053831.77825</v>
      </c>
      <c r="FL16" s="461">
        <f t="shared" si="32"/>
        <v>936871</v>
      </c>
      <c r="FM16" s="461">
        <f t="shared" si="32"/>
        <v>19921</v>
      </c>
      <c r="FN16" s="461">
        <f t="shared" si="32"/>
        <v>-77241</v>
      </c>
      <c r="FO16" s="461">
        <f t="shared" si="33"/>
        <v>10054581.77825</v>
      </c>
      <c r="FQ16" s="461">
        <v>3016029</v>
      </c>
      <c r="FR16" s="461">
        <v>137943</v>
      </c>
      <c r="FS16" s="461">
        <v>-774536</v>
      </c>
      <c r="FT16" s="461">
        <v>10054581.77825</v>
      </c>
      <c r="FV16" s="461">
        <f t="shared" si="34"/>
        <v>924200</v>
      </c>
      <c r="FW16" s="461">
        <f t="shared" si="34"/>
        <v>48538</v>
      </c>
      <c r="FX16" s="461">
        <f t="shared" si="34"/>
        <v>-684572</v>
      </c>
      <c r="FY16" s="461">
        <f t="shared" si="35"/>
        <v>10054581.77825</v>
      </c>
      <c r="GA16" s="461">
        <v>2079158</v>
      </c>
      <c r="GB16" s="461">
        <v>118022</v>
      </c>
      <c r="GC16" s="461">
        <v>-697295</v>
      </c>
      <c r="GD16" s="461">
        <v>10054581.77825</v>
      </c>
      <c r="GF16" s="461">
        <v>1154958</v>
      </c>
      <c r="GG16" s="461">
        <v>69484</v>
      </c>
      <c r="GH16" s="461">
        <v>-12723</v>
      </c>
      <c r="GI16" s="461">
        <v>10054581.77825</v>
      </c>
      <c r="GK16" s="461">
        <f t="shared" si="36"/>
        <v>846540</v>
      </c>
      <c r="GL16" s="461">
        <f t="shared" si="36"/>
        <v>64625</v>
      </c>
      <c r="GM16" s="461">
        <f t="shared" si="36"/>
        <v>-723565</v>
      </c>
      <c r="GN16" s="461">
        <f t="shared" si="37"/>
        <v>10010983</v>
      </c>
      <c r="GP16" s="461">
        <v>3428637</v>
      </c>
      <c r="GQ16" s="461">
        <v>438114</v>
      </c>
      <c r="GR16" s="461">
        <v>-509635</v>
      </c>
      <c r="GS16" s="461">
        <v>10010983</v>
      </c>
      <c r="GU16" s="461">
        <v>860411</v>
      </c>
      <c r="GV16" s="461">
        <v>94665</v>
      </c>
      <c r="GW16" s="461">
        <v>42274</v>
      </c>
      <c r="GX16" s="461">
        <f t="shared" si="38"/>
        <v>10010983</v>
      </c>
      <c r="GZ16" s="461">
        <v>2582097</v>
      </c>
      <c r="HA16" s="461">
        <v>373489</v>
      </c>
      <c r="HB16" s="461">
        <v>213930</v>
      </c>
      <c r="HC16" s="461">
        <v>10010983</v>
      </c>
      <c r="HE16" s="458">
        <f t="shared" si="39"/>
        <v>818613</v>
      </c>
      <c r="HF16" s="459">
        <f t="shared" si="39"/>
        <v>69009</v>
      </c>
      <c r="HG16" s="458">
        <f t="shared" si="39"/>
        <v>15013</v>
      </c>
      <c r="HH16" s="458">
        <v>10809128</v>
      </c>
      <c r="HJ16" s="458">
        <v>1721686</v>
      </c>
      <c r="HK16" s="459">
        <v>280877</v>
      </c>
      <c r="HL16" s="458">
        <v>173709</v>
      </c>
      <c r="HM16" s="458">
        <v>10809128</v>
      </c>
      <c r="HO16" s="458">
        <v>903073</v>
      </c>
      <c r="HP16" s="459">
        <v>211868</v>
      </c>
      <c r="HQ16" s="458">
        <v>158696</v>
      </c>
      <c r="HR16" s="458">
        <v>13461532</v>
      </c>
      <c r="HS16" s="5"/>
      <c r="HT16" s="143">
        <v>4638494</v>
      </c>
      <c r="HU16" s="344">
        <v>731372</v>
      </c>
      <c r="HV16" s="143">
        <v>196658</v>
      </c>
      <c r="HW16" s="143">
        <v>12712861</v>
      </c>
      <c r="HY16" s="143">
        <v>1369745</v>
      </c>
      <c r="HZ16" s="344">
        <v>82432</v>
      </c>
      <c r="IA16" s="143">
        <v>-494471</v>
      </c>
      <c r="IB16" s="143">
        <v>12712861</v>
      </c>
      <c r="ID16" s="143">
        <v>3268749</v>
      </c>
      <c r="IE16" s="344">
        <v>648940</v>
      </c>
      <c r="IF16" s="143">
        <v>691129</v>
      </c>
      <c r="IG16" s="143">
        <v>12712861</v>
      </c>
      <c r="II16" s="143">
        <v>1149397</v>
      </c>
      <c r="IJ16" s="344">
        <v>57190</v>
      </c>
      <c r="IK16" s="143">
        <v>-49720</v>
      </c>
      <c r="IL16" s="143">
        <v>12712861</v>
      </c>
      <c r="IO16" s="143">
        <v>2119352</v>
      </c>
      <c r="IP16" s="344">
        <v>591750</v>
      </c>
      <c r="IQ16" s="143">
        <v>740849</v>
      </c>
      <c r="IR16" s="143">
        <v>12712861</v>
      </c>
      <c r="IT16" s="143">
        <v>947169</v>
      </c>
      <c r="IU16" s="344">
        <v>126438</v>
      </c>
      <c r="IV16" s="143">
        <v>369183</v>
      </c>
      <c r="IW16" s="143">
        <v>12712861</v>
      </c>
      <c r="IY16" s="143">
        <v>1172183</v>
      </c>
      <c r="IZ16" s="344">
        <v>465312</v>
      </c>
      <c r="JA16" s="143">
        <v>371666</v>
      </c>
      <c r="JB16" s="143">
        <v>12712861</v>
      </c>
      <c r="JD16" s="143">
        <v>4537002</v>
      </c>
      <c r="JE16" s="344">
        <v>537024</v>
      </c>
      <c r="JF16" s="143">
        <v>89645</v>
      </c>
      <c r="JG16" s="143">
        <v>11798018</v>
      </c>
      <c r="JI16" s="339">
        <v>1209501</v>
      </c>
      <c r="JJ16" s="340">
        <v>81095</v>
      </c>
      <c r="JK16" s="339">
        <v>-24074</v>
      </c>
      <c r="JL16" s="339">
        <v>11798018</v>
      </c>
      <c r="JN16" s="143">
        <v>3327501</v>
      </c>
      <c r="JO16" s="344">
        <v>455929</v>
      </c>
      <c r="JP16" s="143">
        <v>113719</v>
      </c>
      <c r="JQ16" s="143">
        <v>11798018</v>
      </c>
      <c r="JS16" s="143">
        <v>1042672</v>
      </c>
      <c r="JT16" s="344">
        <v>91128</v>
      </c>
      <c r="JU16" s="143">
        <v>-25053</v>
      </c>
      <c r="JV16" s="143">
        <v>11798018</v>
      </c>
      <c r="JX16" s="155">
        <v>2284829</v>
      </c>
      <c r="JY16" s="182">
        <v>364801</v>
      </c>
      <c r="JZ16" s="155">
        <v>138772</v>
      </c>
      <c r="KA16" s="155">
        <v>11798018</v>
      </c>
      <c r="KC16" s="155">
        <v>1064128</v>
      </c>
      <c r="KD16" s="182">
        <v>136894</v>
      </c>
      <c r="KE16" s="155">
        <v>9273</v>
      </c>
      <c r="KF16" s="155">
        <v>11798018</v>
      </c>
      <c r="KH16" s="155">
        <v>1220701</v>
      </c>
      <c r="KI16" s="182">
        <v>227907</v>
      </c>
      <c r="KJ16" s="155">
        <v>129499</v>
      </c>
      <c r="KK16" s="155">
        <v>11798018</v>
      </c>
      <c r="KM16" s="155">
        <v>4356101</v>
      </c>
      <c r="KN16" s="155">
        <v>545311</v>
      </c>
      <c r="KO16" s="155">
        <v>-752813</v>
      </c>
      <c r="KP16" s="155">
        <v>10874288</v>
      </c>
      <c r="KR16" s="155">
        <v>1112410</v>
      </c>
      <c r="KS16" s="182">
        <v>98202</v>
      </c>
      <c r="KT16" s="155">
        <v>-182972</v>
      </c>
      <c r="KU16" s="155">
        <v>10874288</v>
      </c>
      <c r="KV16" s="156"/>
      <c r="KW16" s="155">
        <v>3243691</v>
      </c>
      <c r="KX16" s="155">
        <v>447109</v>
      </c>
      <c r="KY16" s="155">
        <v>-569841</v>
      </c>
      <c r="KZ16" s="155">
        <v>10412940</v>
      </c>
      <c r="LA16" s="155"/>
      <c r="LB16" s="155">
        <v>901057</v>
      </c>
      <c r="LC16" s="155">
        <v>93148</v>
      </c>
      <c r="LD16" s="155">
        <v>-11530</v>
      </c>
      <c r="LE16" s="155">
        <v>10412940</v>
      </c>
      <c r="LF16" s="156"/>
      <c r="LG16" s="155">
        <v>2342634</v>
      </c>
      <c r="LH16" s="155">
        <v>353961</v>
      </c>
      <c r="LI16" s="155">
        <v>-558311</v>
      </c>
      <c r="LJ16" s="155">
        <v>10874288</v>
      </c>
      <c r="LK16" s="156"/>
      <c r="LL16" s="155">
        <f t="shared" si="40"/>
        <v>1070810</v>
      </c>
      <c r="LM16" s="155">
        <f t="shared" si="40"/>
        <v>162812</v>
      </c>
      <c r="LN16" s="155">
        <f t="shared" si="40"/>
        <v>-647533</v>
      </c>
      <c r="LO16" s="155">
        <f>LT16</f>
        <v>10874288</v>
      </c>
      <c r="LP16" s="156"/>
      <c r="LQ16" s="155">
        <v>1271824</v>
      </c>
      <c r="LR16" s="155">
        <v>191149</v>
      </c>
      <c r="LS16" s="155">
        <v>89222</v>
      </c>
      <c r="LT16" s="155">
        <v>10874288</v>
      </c>
      <c r="LU16" s="156"/>
      <c r="LV16" s="155">
        <v>5376280</v>
      </c>
      <c r="LW16" s="155">
        <v>754751</v>
      </c>
      <c r="LX16" s="155">
        <v>-3477076</v>
      </c>
      <c r="LY16" s="155">
        <v>10788413</v>
      </c>
      <c r="LZ16" s="156"/>
      <c r="MA16" s="155">
        <v>1464821</v>
      </c>
      <c r="MB16" s="155">
        <v>190712</v>
      </c>
      <c r="MC16" s="155">
        <v>-3607565</v>
      </c>
      <c r="MD16" s="155">
        <v>10788413</v>
      </c>
      <c r="ME16" s="156"/>
      <c r="MF16" s="155">
        <v>3911459</v>
      </c>
      <c r="MG16" s="155">
        <v>564039</v>
      </c>
      <c r="MH16" s="155">
        <v>130489</v>
      </c>
      <c r="MI16" s="155">
        <v>10788413</v>
      </c>
      <c r="MJ16" s="156"/>
      <c r="MK16" s="155">
        <v>1164371</v>
      </c>
      <c r="ML16" s="155">
        <v>97637</v>
      </c>
      <c r="MM16" s="155">
        <v>-51447</v>
      </c>
      <c r="MN16" s="155">
        <v>10788413</v>
      </c>
      <c r="MO16" s="156"/>
      <c r="MP16" s="155">
        <v>2747088</v>
      </c>
      <c r="MQ16" s="155">
        <v>466402</v>
      </c>
      <c r="MR16" s="155">
        <v>181936</v>
      </c>
      <c r="MS16" s="155">
        <v>10788413</v>
      </c>
      <c r="MT16" s="156"/>
      <c r="MU16" s="155">
        <v>1184017</v>
      </c>
      <c r="MV16" s="155">
        <v>188031</v>
      </c>
      <c r="MW16" s="155">
        <v>44376</v>
      </c>
      <c r="MX16" s="155">
        <v>10788413</v>
      </c>
      <c r="MY16" s="156"/>
      <c r="MZ16" s="155">
        <v>1563071</v>
      </c>
      <c r="NA16" s="155">
        <v>278371</v>
      </c>
      <c r="NB16" s="155">
        <v>137560</v>
      </c>
      <c r="NC16" s="155">
        <v>10788413</v>
      </c>
      <c r="ND16" s="156"/>
      <c r="NE16" s="155">
        <v>4963651</v>
      </c>
      <c r="NF16" s="155">
        <v>792803</v>
      </c>
      <c r="NG16" s="155">
        <v>72093</v>
      </c>
      <c r="NH16" s="155">
        <v>13160048</v>
      </c>
      <c r="NI16" s="162"/>
      <c r="NJ16" s="155">
        <v>1379772.8041700004</v>
      </c>
      <c r="NK16" s="155">
        <v>258487</v>
      </c>
      <c r="NL16" s="155">
        <v>72848</v>
      </c>
      <c r="NM16" s="155">
        <v>13160048</v>
      </c>
      <c r="NN16" s="162"/>
      <c r="NO16" s="155">
        <v>3583878.1958299996</v>
      </c>
      <c r="NP16" s="155">
        <v>534316</v>
      </c>
      <c r="NQ16" s="155">
        <v>-755</v>
      </c>
      <c r="NR16" s="155">
        <v>13160048</v>
      </c>
      <c r="NS16" s="156"/>
      <c r="NT16" s="155">
        <v>1184469.1958299996</v>
      </c>
      <c r="NU16" s="155">
        <v>135550</v>
      </c>
      <c r="NV16" s="155">
        <v>-39176</v>
      </c>
      <c r="NW16" s="155">
        <v>13160048</v>
      </c>
      <c r="NX16" s="156"/>
      <c r="NY16" s="155">
        <v>2320273.9343399997</v>
      </c>
      <c r="NZ16" s="155">
        <v>388933</v>
      </c>
      <c r="OA16" s="155">
        <v>38421</v>
      </c>
      <c r="OB16" s="155">
        <v>13160048</v>
      </c>
      <c r="OC16" s="156"/>
      <c r="OD16" s="155">
        <v>1067907.9343399997</v>
      </c>
      <c r="OE16" s="155">
        <v>136494</v>
      </c>
      <c r="OF16" s="155">
        <v>-38190</v>
      </c>
      <c r="OG16" s="155">
        <v>13160048</v>
      </c>
      <c r="OH16" s="156"/>
      <c r="OI16" s="155">
        <v>1252366</v>
      </c>
      <c r="OJ16" s="155">
        <v>252439</v>
      </c>
      <c r="OK16" s="155">
        <v>76611</v>
      </c>
      <c r="OL16" s="155">
        <v>13160048</v>
      </c>
      <c r="OM16" s="156"/>
      <c r="ON16" s="156"/>
      <c r="OO16" s="156"/>
      <c r="OP16" s="156"/>
      <c r="OQ16" s="156"/>
      <c r="OR16" s="156"/>
      <c r="OS16" s="156"/>
      <c r="OT16" s="156"/>
      <c r="OU16" s="156"/>
      <c r="OV16" s="156"/>
      <c r="OW16" s="156"/>
      <c r="OX16" s="156"/>
      <c r="OY16" s="156"/>
      <c r="OZ16" s="156"/>
      <c r="PA16" s="156"/>
      <c r="PB16" s="156"/>
      <c r="PC16" s="156"/>
      <c r="PD16" s="156"/>
      <c r="PE16" s="156"/>
      <c r="PF16" s="156"/>
      <c r="PG16" s="156"/>
      <c r="PH16" s="156"/>
      <c r="PI16" s="156"/>
      <c r="PJ16" s="156"/>
      <c r="PK16" s="156"/>
      <c r="PL16" s="156"/>
      <c r="PM16" s="156"/>
      <c r="PN16" s="156"/>
      <c r="PO16" s="156"/>
      <c r="PP16" s="156"/>
      <c r="PQ16" s="156"/>
      <c r="PR16" s="156"/>
      <c r="PS16" s="156"/>
      <c r="PT16" s="156"/>
      <c r="PU16" s="156"/>
      <c r="PV16" s="156"/>
      <c r="PW16" s="156"/>
      <c r="PX16" s="156"/>
      <c r="PY16" s="156"/>
      <c r="PZ16" s="156"/>
      <c r="QA16" s="156"/>
      <c r="QB16" s="156"/>
      <c r="QC16" s="156"/>
      <c r="QD16" s="156"/>
      <c r="QE16" s="156"/>
      <c r="QF16" s="156"/>
      <c r="QG16" s="156"/>
      <c r="QH16" s="156"/>
      <c r="QI16" s="156"/>
      <c r="QJ16" s="156"/>
      <c r="QK16" s="156"/>
      <c r="QL16" s="156"/>
      <c r="QM16" s="156"/>
      <c r="QN16" s="156"/>
      <c r="QO16" s="156"/>
      <c r="QP16" s="156"/>
      <c r="QQ16" s="156"/>
      <c r="QR16" s="156"/>
      <c r="QS16" s="156"/>
      <c r="QT16" s="156"/>
    </row>
    <row r="17" spans="1:462">
      <c r="A17" s="460" t="s">
        <v>947</v>
      </c>
      <c r="C17" s="757">
        <f>'[3]segmenty prez'!$D$48*1000</f>
        <v>1212000</v>
      </c>
      <c r="D17" s="757">
        <f>'[3]segmenty prez'!$D$58*1000</f>
        <v>189000</v>
      </c>
      <c r="E17" s="757">
        <f>'[3]segmenty prez'!$D$54*1000</f>
        <v>94000</v>
      </c>
      <c r="F17" s="757">
        <f>'[3]segmenty prez'!$D$67*1000</f>
        <v>2915000</v>
      </c>
      <c r="H17" s="757">
        <f>'[3]segmenty 3 m-ce PREZ'!$D$41*1000</f>
        <v>399000</v>
      </c>
      <c r="I17" s="757">
        <f>'[3]segmenty 3 m-ce PREZ'!$D$51*1000</f>
        <v>66000</v>
      </c>
      <c r="J17" s="757">
        <f>'[3]segmenty 3 m-ce PREZ'!$D$47*1000</f>
        <v>4000</v>
      </c>
      <c r="K17" s="757">
        <f t="shared" si="41"/>
        <v>2915000</v>
      </c>
      <c r="M17" s="668">
        <f>('[4]segmenty prez'!$D$48)*1000</f>
        <v>813000</v>
      </c>
      <c r="N17" s="668">
        <f>('[4]segmenty prez'!$D$58)*1000</f>
        <v>123000</v>
      </c>
      <c r="O17" s="668">
        <f>('[4]segmenty prez'!$D$54)*1000</f>
        <v>90000</v>
      </c>
      <c r="P17" s="668">
        <f>('[4]segmenty prez'!$D$67)*1000</f>
        <v>2915000</v>
      </c>
      <c r="R17" s="668">
        <f>([5]segmenty!$C$49)*1000</f>
        <v>2193000</v>
      </c>
      <c r="S17" s="668">
        <f>([5]segmenty!$C$76)*1000</f>
        <v>302000</v>
      </c>
      <c r="T17" s="668">
        <f>([5]segmenty!$C$73)*1000</f>
        <v>161000</v>
      </c>
      <c r="U17" s="668">
        <f>([5]segmenty!$C$67)*1000</f>
        <v>2768000</v>
      </c>
      <c r="W17" s="671">
        <f t="shared" si="42"/>
        <v>799000</v>
      </c>
      <c r="X17" s="671">
        <f t="shared" si="43"/>
        <v>79000</v>
      </c>
      <c r="Y17" s="671">
        <f t="shared" si="44"/>
        <v>165000</v>
      </c>
      <c r="Z17" s="671">
        <f t="shared" si="45"/>
        <v>2768000</v>
      </c>
      <c r="AB17" s="668">
        <f>'[6]segmenty prez'!$C$45*1000</f>
        <v>1394000</v>
      </c>
      <c r="AC17" s="668">
        <f>'[6]segmenty prez'!$C$52*1000</f>
        <v>223000</v>
      </c>
      <c r="AD17" s="668">
        <f>'[6]segmenty prez'!$C$48*1000</f>
        <v>-4000</v>
      </c>
      <c r="AE17" s="668">
        <f>'[6]segmenty prez'!$C$61*1000</f>
        <v>2768000</v>
      </c>
      <c r="AG17" s="671">
        <f>([6]segmenty!$C$47)*1000</f>
        <v>1394000</v>
      </c>
      <c r="AH17" s="671">
        <f>([6]segmenty!$C$72)*1000</f>
        <v>223000</v>
      </c>
      <c r="AI17" s="671">
        <f>([6]segmenty!$C$69)*1000</f>
        <v>-4000</v>
      </c>
      <c r="AJ17" s="671">
        <f t="shared" si="46"/>
        <v>2768000</v>
      </c>
      <c r="AL17" s="668">
        <f>'[7]segmenty prez'!$C$45*1000</f>
        <v>1147000</v>
      </c>
      <c r="AM17" s="668">
        <f>'[7]segmenty prez'!$C$52*1000</f>
        <v>166000</v>
      </c>
      <c r="AN17" s="668">
        <f>'[7]segmenty prez'!$C$48*1000</f>
        <v>-35000</v>
      </c>
      <c r="AO17" s="668">
        <f>'[7]segmenty prez'!$C$61*1000</f>
        <v>2768000</v>
      </c>
      <c r="AQ17" s="668">
        <f>'[7]segmenty 3 m-ce PREZ'!$C$38*1000</f>
        <v>337000</v>
      </c>
      <c r="AR17" s="668">
        <f>'[7]segmenty 3 m-ce PREZ'!$C$45*1000</f>
        <v>31000</v>
      </c>
      <c r="AS17" s="668">
        <f>'[7]segmenty 3 m-ce PREZ'!$C$41*1000</f>
        <v>-138000</v>
      </c>
      <c r="AT17" s="668">
        <f t="shared" si="47"/>
        <v>2768000</v>
      </c>
      <c r="AV17" s="668">
        <f>([8]segmenty!$C$47)*1000</f>
        <v>810000</v>
      </c>
      <c r="AW17" s="668">
        <f>([8]segmenty!$C$72)*1000</f>
        <v>135000</v>
      </c>
      <c r="AX17" s="668">
        <f>([8]segmenty!$C$69)*1000</f>
        <v>103000</v>
      </c>
      <c r="AY17" s="668">
        <f>([8]segmenty!$C$63)*1000</f>
        <v>2768000</v>
      </c>
      <c r="BA17" s="668">
        <f>([9]segmenty!$C$47)*1000</f>
        <v>2561000</v>
      </c>
      <c r="BB17" s="668">
        <f>([9]segmenty!$C$72)*1000</f>
        <v>123000</v>
      </c>
      <c r="BC17" s="668">
        <f>([9]segmenty!$C$69)*1000</f>
        <v>-301000</v>
      </c>
      <c r="BD17" s="668">
        <f>([9]segmenty!$C$63)*1000</f>
        <v>2995000</v>
      </c>
      <c r="BF17" s="668">
        <f t="shared" ref="BF17:BF22" si="58">BA17-BK17</f>
        <v>897000</v>
      </c>
      <c r="BG17" s="668">
        <f t="shared" si="48"/>
        <v>-98000</v>
      </c>
      <c r="BH17" s="668">
        <f t="shared" si="48"/>
        <v>-441000</v>
      </c>
      <c r="BI17" s="668">
        <f t="shared" si="49"/>
        <v>2995000</v>
      </c>
      <c r="BK17" s="668">
        <f>([10]segmenty!$C$47)*1000</f>
        <v>1664000</v>
      </c>
      <c r="BL17" s="668">
        <f>([10]segmenty!$C$72)*1000</f>
        <v>221000</v>
      </c>
      <c r="BM17" s="668">
        <f>([10]segmenty!$C$69)*1000</f>
        <v>140000</v>
      </c>
      <c r="BN17" s="668">
        <f>([10]segmenty!$C$63)*1000</f>
        <v>2995000</v>
      </c>
      <c r="BP17" s="668">
        <f>('[6]segmenty 3 m-ce PREZ'!$C$38)*1000</f>
        <v>247000</v>
      </c>
      <c r="BQ17" s="668">
        <f>('[6]segmenty 3 m-ce PREZ'!$C$45)*1000</f>
        <v>57000</v>
      </c>
      <c r="BR17" s="668">
        <f>('[6]segmenty 3 m-ce PREZ'!$C$41)*1000</f>
        <v>31000</v>
      </c>
      <c r="BS17" s="668">
        <f t="shared" si="50"/>
        <v>2995000</v>
      </c>
      <c r="BU17" s="668">
        <v>1386000</v>
      </c>
      <c r="BV17" s="668">
        <v>205000</v>
      </c>
      <c r="BW17" s="668">
        <v>151000</v>
      </c>
      <c r="BX17" s="668">
        <f>2995000</f>
        <v>2995000</v>
      </c>
      <c r="BZ17" s="668">
        <v>502000</v>
      </c>
      <c r="CA17" s="668">
        <v>73000</v>
      </c>
      <c r="CB17" s="668">
        <v>46000</v>
      </c>
      <c r="CC17" s="668">
        <f t="shared" si="51"/>
        <v>2995000</v>
      </c>
      <c r="CE17" s="668">
        <v>884000</v>
      </c>
      <c r="CF17" s="668">
        <v>132000</v>
      </c>
      <c r="CG17" s="668">
        <v>105000</v>
      </c>
      <c r="CH17" s="668"/>
      <c r="CJ17" s="668"/>
      <c r="CK17" s="668"/>
      <c r="CL17" s="668"/>
      <c r="CM17" s="668"/>
      <c r="CO17" s="668"/>
      <c r="CP17" s="668"/>
      <c r="CQ17" s="668"/>
      <c r="CR17" s="668"/>
      <c r="CT17" s="668"/>
      <c r="CU17" s="668"/>
      <c r="CV17" s="668"/>
      <c r="CW17" s="668"/>
      <c r="CY17" s="668"/>
      <c r="CZ17" s="668"/>
      <c r="DA17" s="668"/>
      <c r="DB17" s="668"/>
      <c r="DD17" s="668"/>
      <c r="DE17" s="668"/>
      <c r="DF17" s="668"/>
      <c r="DG17" s="668"/>
      <c r="DI17" s="668"/>
      <c r="DJ17" s="668"/>
      <c r="DK17" s="668"/>
      <c r="DL17" s="668"/>
      <c r="DN17" s="668"/>
      <c r="DO17" s="668"/>
      <c r="DP17" s="668"/>
      <c r="DQ17" s="668"/>
      <c r="DS17" s="668"/>
      <c r="DT17" s="668"/>
      <c r="DU17" s="668"/>
      <c r="DV17" s="668"/>
      <c r="DX17" s="668"/>
      <c r="DY17" s="668"/>
      <c r="DZ17" s="668"/>
      <c r="EA17" s="668"/>
      <c r="EC17" s="461"/>
      <c r="ED17" s="461"/>
      <c r="EE17" s="461"/>
      <c r="EF17" s="461"/>
      <c r="EH17" s="461"/>
      <c r="EI17" s="461"/>
      <c r="EJ17" s="461"/>
      <c r="EK17" s="461"/>
      <c r="EM17" s="461"/>
      <c r="EN17" s="461"/>
      <c r="EO17" s="461"/>
      <c r="EP17" s="461"/>
      <c r="ER17" s="461"/>
      <c r="ES17" s="461"/>
      <c r="ET17" s="461"/>
      <c r="EU17" s="461"/>
      <c r="EW17" s="461"/>
      <c r="EX17" s="461"/>
      <c r="EY17" s="461"/>
      <c r="EZ17" s="461"/>
      <c r="FB17" s="461"/>
      <c r="FC17" s="461"/>
      <c r="FD17" s="461"/>
      <c r="FE17" s="461"/>
      <c r="FG17" s="461"/>
      <c r="FH17" s="461"/>
      <c r="FI17" s="461"/>
      <c r="FJ17" s="461"/>
      <c r="FL17" s="461"/>
      <c r="FM17" s="461"/>
      <c r="FN17" s="461"/>
      <c r="FO17" s="461"/>
      <c r="FQ17" s="461"/>
      <c r="FR17" s="461"/>
      <c r="FS17" s="461"/>
      <c r="FT17" s="461"/>
      <c r="FV17" s="461"/>
      <c r="FW17" s="461"/>
      <c r="FX17" s="461"/>
      <c r="FY17" s="461"/>
      <c r="GA17" s="461"/>
      <c r="GB17" s="461"/>
      <c r="GC17" s="461"/>
      <c r="GD17" s="461"/>
      <c r="GF17" s="461"/>
      <c r="GG17" s="461"/>
      <c r="GH17" s="461"/>
      <c r="GI17" s="461"/>
      <c r="GK17" s="461"/>
      <c r="GL17" s="461"/>
      <c r="GM17" s="461"/>
      <c r="GN17" s="461"/>
      <c r="GP17" s="461"/>
      <c r="GQ17" s="461"/>
      <c r="GR17" s="461"/>
      <c r="GS17" s="461"/>
      <c r="GU17" s="461"/>
      <c r="GV17" s="461"/>
      <c r="GW17" s="461"/>
      <c r="GX17" s="461"/>
      <c r="GZ17" s="461"/>
      <c r="HA17" s="461"/>
      <c r="HB17" s="461"/>
      <c r="HC17" s="461"/>
      <c r="HE17" s="458"/>
      <c r="HF17" s="459"/>
      <c r="HG17" s="458"/>
      <c r="HH17" s="458"/>
      <c r="HJ17" s="458"/>
      <c r="HK17" s="459"/>
      <c r="HL17" s="458"/>
      <c r="HM17" s="458"/>
      <c r="HO17" s="458"/>
      <c r="HP17" s="459"/>
      <c r="HQ17" s="458"/>
      <c r="HR17" s="458"/>
      <c r="HS17" s="5"/>
      <c r="HT17" s="143"/>
      <c r="HU17" s="344"/>
      <c r="HV17" s="143"/>
      <c r="HW17" s="143"/>
      <c r="HY17" s="143"/>
      <c r="HZ17" s="344"/>
      <c r="IA17" s="143"/>
      <c r="IB17" s="143"/>
      <c r="ID17" s="143"/>
      <c r="IE17" s="344"/>
      <c r="IF17" s="143"/>
      <c r="IG17" s="143"/>
      <c r="II17" s="143"/>
      <c r="IJ17" s="344"/>
      <c r="IK17" s="143"/>
      <c r="IL17" s="143"/>
      <c r="IO17" s="143"/>
      <c r="IP17" s="344"/>
      <c r="IQ17" s="143"/>
      <c r="IR17" s="143"/>
      <c r="IT17" s="143"/>
      <c r="IU17" s="344"/>
      <c r="IV17" s="143"/>
      <c r="IW17" s="143"/>
      <c r="IY17" s="143"/>
      <c r="IZ17" s="344"/>
      <c r="JA17" s="143"/>
      <c r="JB17" s="143"/>
      <c r="JD17" s="143"/>
      <c r="JE17" s="344"/>
      <c r="JF17" s="143"/>
      <c r="JG17" s="143"/>
      <c r="JI17" s="339"/>
      <c r="JJ17" s="340"/>
      <c r="JK17" s="339"/>
      <c r="JL17" s="339"/>
      <c r="JN17" s="143"/>
      <c r="JO17" s="344"/>
      <c r="JP17" s="143"/>
      <c r="JQ17" s="143"/>
      <c r="JS17" s="143"/>
      <c r="JT17" s="344"/>
      <c r="JU17" s="143"/>
      <c r="JV17" s="143"/>
      <c r="JX17" s="155"/>
      <c r="JY17" s="182"/>
      <c r="JZ17" s="155"/>
      <c r="KA17" s="155"/>
      <c r="KC17" s="155"/>
      <c r="KD17" s="182"/>
      <c r="KE17" s="155"/>
      <c r="KF17" s="155"/>
      <c r="KH17" s="155"/>
      <c r="KI17" s="182"/>
      <c r="KJ17" s="155"/>
      <c r="KK17" s="155"/>
      <c r="KM17" s="155"/>
      <c r="KN17" s="155"/>
      <c r="KO17" s="155"/>
      <c r="KP17" s="155"/>
      <c r="KR17" s="155"/>
      <c r="KS17" s="182"/>
      <c r="KT17" s="155"/>
      <c r="KU17" s="155"/>
      <c r="KV17" s="156"/>
      <c r="KW17" s="155"/>
      <c r="KX17" s="155"/>
      <c r="KY17" s="155"/>
      <c r="KZ17" s="155"/>
      <c r="LA17" s="155"/>
      <c r="LB17" s="155"/>
      <c r="LC17" s="155"/>
      <c r="LD17" s="155"/>
      <c r="LE17" s="155"/>
      <c r="LF17" s="156"/>
      <c r="LG17" s="155"/>
      <c r="LH17" s="155"/>
      <c r="LI17" s="155"/>
      <c r="LJ17" s="155"/>
      <c r="LK17" s="156"/>
      <c r="LL17" s="155"/>
      <c r="LM17" s="155"/>
      <c r="LN17" s="155"/>
      <c r="LO17" s="155"/>
      <c r="LP17" s="156"/>
      <c r="LQ17" s="155"/>
      <c r="LR17" s="155"/>
      <c r="LS17" s="155"/>
      <c r="LT17" s="155"/>
      <c r="LU17" s="156"/>
      <c r="LV17" s="155"/>
      <c r="LW17" s="155"/>
      <c r="LX17" s="155"/>
      <c r="LY17" s="155"/>
      <c r="LZ17" s="156"/>
      <c r="MA17" s="155"/>
      <c r="MB17" s="155"/>
      <c r="MC17" s="155"/>
      <c r="MD17" s="155"/>
      <c r="ME17" s="156"/>
      <c r="MF17" s="155"/>
      <c r="MG17" s="155"/>
      <c r="MH17" s="155"/>
      <c r="MI17" s="155"/>
      <c r="MJ17" s="156"/>
      <c r="MK17" s="155"/>
      <c r="ML17" s="155"/>
      <c r="MM17" s="155"/>
      <c r="MN17" s="155"/>
      <c r="MO17" s="156"/>
      <c r="MP17" s="155"/>
      <c r="MQ17" s="155"/>
      <c r="MR17" s="155"/>
      <c r="MS17" s="155"/>
      <c r="MT17" s="156"/>
      <c r="MU17" s="155"/>
      <c r="MV17" s="155"/>
      <c r="MW17" s="155"/>
      <c r="MX17" s="155"/>
      <c r="MY17" s="156"/>
      <c r="MZ17" s="155"/>
      <c r="NA17" s="155"/>
      <c r="NB17" s="155"/>
      <c r="NC17" s="155"/>
      <c r="ND17" s="156"/>
      <c r="NE17" s="155"/>
      <c r="NF17" s="155"/>
      <c r="NG17" s="155"/>
      <c r="NH17" s="155"/>
      <c r="NI17" s="162"/>
      <c r="NJ17" s="155"/>
      <c r="NK17" s="155"/>
      <c r="NL17" s="155"/>
      <c r="NM17" s="155"/>
      <c r="NN17" s="162"/>
      <c r="NO17" s="155"/>
      <c r="NP17" s="155"/>
      <c r="NQ17" s="155"/>
      <c r="NR17" s="155"/>
      <c r="NS17" s="156"/>
      <c r="NT17" s="155"/>
      <c r="NU17" s="155"/>
      <c r="NV17" s="155"/>
      <c r="NW17" s="155"/>
      <c r="NX17" s="156"/>
      <c r="NY17" s="155"/>
      <c r="NZ17" s="155"/>
      <c r="OA17" s="155"/>
      <c r="OB17" s="155"/>
      <c r="OC17" s="156"/>
      <c r="OD17" s="155"/>
      <c r="OE17" s="155"/>
      <c r="OF17" s="155"/>
      <c r="OG17" s="155"/>
      <c r="OH17" s="156"/>
      <c r="OI17" s="155"/>
      <c r="OJ17" s="155"/>
      <c r="OK17" s="155"/>
      <c r="OL17" s="155"/>
      <c r="OM17" s="156"/>
      <c r="ON17" s="156"/>
      <c r="OO17" s="156"/>
      <c r="OP17" s="156"/>
      <c r="OQ17" s="156"/>
      <c r="OR17" s="156"/>
      <c r="OS17" s="156"/>
      <c r="OT17" s="156"/>
      <c r="OU17" s="156"/>
      <c r="OV17" s="156"/>
      <c r="OW17" s="156"/>
      <c r="OX17" s="156"/>
      <c r="OY17" s="156"/>
      <c r="OZ17" s="156"/>
      <c r="PA17" s="156"/>
      <c r="PB17" s="156"/>
      <c r="PC17" s="156"/>
      <c r="PD17" s="156"/>
      <c r="PE17" s="156"/>
      <c r="PF17" s="156"/>
      <c r="PG17" s="156"/>
      <c r="PH17" s="156"/>
      <c r="PI17" s="156"/>
      <c r="PJ17" s="156"/>
      <c r="PK17" s="156"/>
      <c r="PL17" s="156"/>
      <c r="PM17" s="156"/>
      <c r="PN17" s="156"/>
      <c r="PO17" s="156"/>
      <c r="PP17" s="156"/>
      <c r="PQ17" s="156"/>
      <c r="PR17" s="156"/>
      <c r="PS17" s="156"/>
      <c r="PT17" s="156"/>
      <c r="PU17" s="156"/>
      <c r="PV17" s="156"/>
      <c r="PW17" s="156"/>
      <c r="PX17" s="156"/>
      <c r="PY17" s="156"/>
      <c r="PZ17" s="156"/>
      <c r="QA17" s="156"/>
      <c r="QB17" s="156"/>
      <c r="QC17" s="156"/>
      <c r="QD17" s="156"/>
      <c r="QE17" s="156"/>
      <c r="QF17" s="156"/>
      <c r="QG17" s="156"/>
      <c r="QH17" s="156"/>
      <c r="QI17" s="156"/>
      <c r="QJ17" s="156"/>
      <c r="QK17" s="156"/>
      <c r="QL17" s="156"/>
      <c r="QM17" s="156"/>
      <c r="QN17" s="156"/>
      <c r="QO17" s="156"/>
      <c r="QP17" s="156"/>
      <c r="QQ17" s="156"/>
      <c r="QR17" s="156"/>
      <c r="QS17" s="156"/>
      <c r="QT17" s="156"/>
    </row>
    <row r="18" spans="1:462">
      <c r="A18" s="58" t="s">
        <v>578</v>
      </c>
      <c r="C18" s="757">
        <f>'[3]segmenty prez'!$C$48*1000</f>
        <v>506000</v>
      </c>
      <c r="D18" s="757">
        <f>'[3]segmenty prez'!$C$58*1000</f>
        <v>318000</v>
      </c>
      <c r="E18" s="757">
        <f>'[3]segmenty prez'!$C$54*1000</f>
        <v>201000</v>
      </c>
      <c r="F18" s="757">
        <f>'[3]segmenty prez'!$C$67*1000</f>
        <v>6566000</v>
      </c>
      <c r="H18" s="757">
        <f>'[3]segmenty 3 m-ce PREZ'!$C$41*1000</f>
        <v>211000</v>
      </c>
      <c r="I18" s="757">
        <f>'[3]segmenty 3 m-ce PREZ'!$C$51*1000</f>
        <v>138000</v>
      </c>
      <c r="J18" s="757">
        <f>'[3]segmenty 3 m-ce PREZ'!$C$47*1000</f>
        <v>79000</v>
      </c>
      <c r="K18" s="757">
        <f t="shared" si="41"/>
        <v>6566000</v>
      </c>
      <c r="M18" s="668">
        <f>('[4]segmenty prez'!$C$48)*1000</f>
        <v>295000</v>
      </c>
      <c r="N18" s="668">
        <f>('[4]segmenty prez'!$C$58)*1000</f>
        <v>180000</v>
      </c>
      <c r="O18" s="668">
        <f>('[4]segmenty prez'!$C$54)*1000</f>
        <v>122000</v>
      </c>
      <c r="P18" s="668">
        <f>('[4]segmenty prez'!$C$67)*1000</f>
        <v>6566000</v>
      </c>
      <c r="R18" s="668">
        <f>([5]segmenty!$D$49)*1000</f>
        <v>987000</v>
      </c>
      <c r="S18" s="668">
        <f>([5]segmenty!$D$76)*1000</f>
        <v>684000</v>
      </c>
      <c r="T18" s="668">
        <f>([5]segmenty!$D$73)*1000</f>
        <v>497000</v>
      </c>
      <c r="U18" s="668">
        <f>([5]segmenty!$D$67)*1000</f>
        <v>5192000</v>
      </c>
      <c r="W18" s="671">
        <f t="shared" si="42"/>
        <v>279000</v>
      </c>
      <c r="X18" s="671">
        <f t="shared" si="43"/>
        <v>190000</v>
      </c>
      <c r="Y18" s="671">
        <f t="shared" si="44"/>
        <v>146000</v>
      </c>
      <c r="Z18" s="671">
        <f t="shared" si="45"/>
        <v>5192000</v>
      </c>
      <c r="AB18" s="668">
        <f>'[6]segmenty prez'!$D$45*1000+20000</f>
        <v>708000</v>
      </c>
      <c r="AC18" s="668">
        <f>'[6]segmenty prez'!$D$52*1000</f>
        <v>494000</v>
      </c>
      <c r="AD18" s="668">
        <f>'[6]segmenty prez'!$D$48*1000</f>
        <v>351000</v>
      </c>
      <c r="AE18" s="668">
        <f>'[6]segmenty prez'!$D$61*1000</f>
        <v>5192000</v>
      </c>
      <c r="AG18" s="671">
        <f>([6]segmenty!$D$47)*1000</f>
        <v>688000</v>
      </c>
      <c r="AH18" s="671">
        <f>([6]segmenty!$D$72)*1000</f>
        <v>494000</v>
      </c>
      <c r="AI18" s="671">
        <f>([6]segmenty!$D$69)*1000</f>
        <v>351000</v>
      </c>
      <c r="AJ18" s="671">
        <f t="shared" si="46"/>
        <v>5192000</v>
      </c>
      <c r="AL18" s="668">
        <f>'[7]segmenty prez'!$D$45*1000</f>
        <v>512000</v>
      </c>
      <c r="AM18" s="668">
        <f>'[7]segmenty prez'!$D$52*1000</f>
        <v>369000</v>
      </c>
      <c r="AN18" s="668">
        <f>'[7]segmenty prez'!$D$48*1000</f>
        <v>274000</v>
      </c>
      <c r="AO18" s="668">
        <f>'[7]segmenty prez'!$D$61*1000</f>
        <v>5192000</v>
      </c>
      <c r="AQ18" s="668">
        <f>'[7]segmenty 3 m-ce PREZ'!$D$38*1000</f>
        <v>220000</v>
      </c>
      <c r="AR18" s="668">
        <f>'[7]segmenty 3 m-ce PREZ'!$D$45*1000</f>
        <v>140000</v>
      </c>
      <c r="AS18" s="668">
        <f>'[7]segmenty 3 m-ce PREZ'!$D$41*1000</f>
        <v>92000</v>
      </c>
      <c r="AT18" s="668">
        <f t="shared" si="47"/>
        <v>5192000</v>
      </c>
      <c r="AV18" s="668">
        <f>([8]segmenty!$D$47)*1000</f>
        <v>292000</v>
      </c>
      <c r="AW18" s="668">
        <f>([8]segmenty!$D$72)*1000</f>
        <v>229000</v>
      </c>
      <c r="AX18" s="668">
        <f>([8]segmenty!$D$69)*1000</f>
        <v>182000</v>
      </c>
      <c r="AY18" s="668">
        <f>([8]segmenty!$D$63)*1000</f>
        <v>5192000</v>
      </c>
      <c r="BA18" s="668">
        <f>([9]segmenty!$D$47)*1000</f>
        <v>750000</v>
      </c>
      <c r="BB18" s="668">
        <f>([9]segmenty!$D$72)*1000</f>
        <v>431000</v>
      </c>
      <c r="BC18" s="668">
        <f>([9]segmenty!$D$69)*1000</f>
        <v>261000</v>
      </c>
      <c r="BD18" s="668">
        <f>([9]segmenty!$D$63)*1000</f>
        <v>3971000</v>
      </c>
      <c r="BF18" s="668">
        <f t="shared" si="58"/>
        <v>189000</v>
      </c>
      <c r="BG18" s="668">
        <f t="shared" si="48"/>
        <v>110000</v>
      </c>
      <c r="BH18" s="668">
        <f t="shared" si="48"/>
        <v>82000</v>
      </c>
      <c r="BI18" s="668">
        <f t="shared" si="49"/>
        <v>3971000</v>
      </c>
      <c r="BK18" s="668">
        <f>([10]segmenty!$D$47)*1000</f>
        <v>561000</v>
      </c>
      <c r="BL18" s="668">
        <f>([10]segmenty!$D$72)*1000</f>
        <v>321000</v>
      </c>
      <c r="BM18" s="668">
        <f>([10]segmenty!$D$69)*1000</f>
        <v>179000</v>
      </c>
      <c r="BN18" s="668">
        <f>([10]segmenty!$D$63)*1000</f>
        <v>3971000</v>
      </c>
      <c r="BP18" s="668">
        <f>('[6]segmenty 3 m-ce PREZ'!$D$38)*1000</f>
        <v>176000</v>
      </c>
      <c r="BQ18" s="668">
        <f>('[6]segmenty 3 m-ce PREZ'!$D$45)*1000</f>
        <v>125000</v>
      </c>
      <c r="BR18" s="668">
        <f>('[6]segmenty 3 m-ce PREZ'!$D$41)*1000</f>
        <v>77000</v>
      </c>
      <c r="BS18" s="668">
        <f t="shared" si="50"/>
        <v>3971000</v>
      </c>
      <c r="BU18" s="668">
        <f>[14]segmenty!$C$9*1000</f>
        <v>440000</v>
      </c>
      <c r="BV18" s="668">
        <v>276000</v>
      </c>
      <c r="BW18" s="668">
        <v>180000</v>
      </c>
      <c r="BX18" s="668">
        <v>3971000</v>
      </c>
      <c r="BZ18" s="668">
        <v>171000</v>
      </c>
      <c r="CA18" s="668">
        <v>90000</v>
      </c>
      <c r="CB18" s="668">
        <v>42000</v>
      </c>
      <c r="CC18" s="668">
        <f t="shared" si="51"/>
        <v>3971000</v>
      </c>
      <c r="CE18" s="668">
        <f>[11]segmenty!$C$47*1000</f>
        <v>269000</v>
      </c>
      <c r="CF18" s="668">
        <f>[11]segmenty!$C$72*1000</f>
        <v>186000</v>
      </c>
      <c r="CG18" s="668">
        <f>[11]segmenty!$C$69*1000</f>
        <v>138000</v>
      </c>
      <c r="CH18" s="668">
        <f>[11]segmenty!$C$63*1000</f>
        <v>3971000</v>
      </c>
      <c r="CJ18" s="668">
        <f>([12]segmenty!$C$48)*1000</f>
        <v>909000</v>
      </c>
      <c r="CK18" s="668">
        <f>([12]segmenty!$C$73)*1000</f>
        <v>476000</v>
      </c>
      <c r="CL18" s="668">
        <f>([12]segmenty!$C$70)*1000</f>
        <v>292000</v>
      </c>
      <c r="CM18" s="668">
        <f>([12]segmenty!$C$64)*1000</f>
        <v>2910000</v>
      </c>
      <c r="CO18" s="668">
        <f t="shared" si="52"/>
        <v>163000</v>
      </c>
      <c r="CP18" s="668">
        <f t="shared" si="52"/>
        <v>94000</v>
      </c>
      <c r="CQ18" s="668">
        <f t="shared" si="52"/>
        <v>20000</v>
      </c>
      <c r="CR18" s="668">
        <f t="shared" si="53"/>
        <v>2910000</v>
      </c>
      <c r="CT18" s="668">
        <f>([13]segmenty!$C$48)*1000</f>
        <v>746000</v>
      </c>
      <c r="CU18" s="668">
        <f>([13]segmenty!$C$73)*1000</f>
        <v>382000</v>
      </c>
      <c r="CV18" s="668">
        <f>([13]segmenty!$C$70)*1000</f>
        <v>272000</v>
      </c>
      <c r="CW18" s="668">
        <f>([13]segmenty!$C$64)*1000</f>
        <v>2910000</v>
      </c>
      <c r="CY18" s="668">
        <f>('[13]segmenty 3 m-ce PREZ'!$C$39)*1000</f>
        <v>178000</v>
      </c>
      <c r="CZ18" s="668">
        <f>('[13]segmenty 3 m-ce PREZ'!$C$46)*1000</f>
        <v>86000</v>
      </c>
      <c r="DA18" s="668">
        <f>('[13]segmenty 3 m-ce PREZ'!$C$42)*1000</f>
        <v>50000</v>
      </c>
      <c r="DB18" s="668">
        <f t="shared" si="54"/>
        <v>2910000</v>
      </c>
      <c r="DD18" s="668">
        <f>([14]segmenty!$C$48)*1000</f>
        <v>568000</v>
      </c>
      <c r="DE18" s="668">
        <f>([14]segmenty!$C$72)*1000</f>
        <v>296000</v>
      </c>
      <c r="DF18" s="668">
        <f>([14]segmenty!$C$69)*1000</f>
        <v>222000</v>
      </c>
      <c r="DG18" s="668">
        <f>([14]segmenty!$C$63)*1000</f>
        <v>2910000</v>
      </c>
      <c r="DI18" s="668">
        <f>('[14]segmenty 3 m-ce'!$C$101)*1000</f>
        <v>254000</v>
      </c>
      <c r="DJ18" s="668">
        <f>('[14]segmenty 3 m-ce'!$C$115)*1000</f>
        <v>110000</v>
      </c>
      <c r="DK18" s="668">
        <f>('[14]segmenty 3 m-ce'!$C$112)*1000</f>
        <v>68000</v>
      </c>
      <c r="DL18" s="668">
        <f t="shared" si="55"/>
        <v>2910000</v>
      </c>
      <c r="DN18" s="668">
        <f>[15]segmenty!$C$48*1000</f>
        <v>314000</v>
      </c>
      <c r="DO18" s="668">
        <f>[15]segmenty!$C$71*1000</f>
        <v>186000</v>
      </c>
      <c r="DP18" s="668">
        <f>[15]segmenty!$C$69*1000</f>
        <v>154000</v>
      </c>
      <c r="DQ18" s="668">
        <f>[15]segmenty!$C$63*1000</f>
        <v>2910000</v>
      </c>
      <c r="DS18" s="668">
        <f t="shared" si="56"/>
        <v>217000</v>
      </c>
      <c r="DT18" s="668">
        <f t="shared" si="56"/>
        <v>125000</v>
      </c>
      <c r="DU18" s="668">
        <f t="shared" si="56"/>
        <v>90000</v>
      </c>
      <c r="DV18" s="668">
        <f t="shared" si="57"/>
        <v>2470000</v>
      </c>
      <c r="DX18" s="668">
        <v>661000</v>
      </c>
      <c r="DY18" s="668">
        <v>376000</v>
      </c>
      <c r="DZ18" s="668">
        <v>224000</v>
      </c>
      <c r="EA18" s="668">
        <v>2470000</v>
      </c>
      <c r="EC18" s="461">
        <v>135000</v>
      </c>
      <c r="ED18" s="461">
        <v>84000</v>
      </c>
      <c r="EE18" s="461">
        <v>45000</v>
      </c>
      <c r="EF18" s="461">
        <f t="shared" si="28"/>
        <v>2470000</v>
      </c>
      <c r="EH18" s="461">
        <v>444000</v>
      </c>
      <c r="EI18" s="461">
        <v>251000</v>
      </c>
      <c r="EJ18" s="461">
        <v>134000</v>
      </c>
      <c r="EK18" s="461">
        <v>2470000</v>
      </c>
      <c r="EM18" s="461">
        <f t="shared" si="29"/>
        <v>153000</v>
      </c>
      <c r="EN18" s="461">
        <f t="shared" si="29"/>
        <v>83000</v>
      </c>
      <c r="EO18" s="461">
        <f t="shared" si="29"/>
        <v>44000</v>
      </c>
      <c r="EP18" s="461">
        <v>2470000</v>
      </c>
      <c r="ER18" s="461">
        <v>309000</v>
      </c>
      <c r="ES18" s="461">
        <v>167000</v>
      </c>
      <c r="ET18" s="461">
        <v>89000</v>
      </c>
      <c r="EU18" s="461">
        <v>2470000</v>
      </c>
      <c r="EW18" s="461">
        <v>156000</v>
      </c>
      <c r="EX18" s="461">
        <v>84000</v>
      </c>
      <c r="EY18" s="461">
        <v>45000</v>
      </c>
      <c r="EZ18" s="461">
        <v>2470000</v>
      </c>
      <c r="FB18" s="461">
        <f t="shared" si="30"/>
        <v>158000</v>
      </c>
      <c r="FC18" s="461">
        <f t="shared" si="30"/>
        <v>79638</v>
      </c>
      <c r="FD18" s="461">
        <f t="shared" si="30"/>
        <v>41525</v>
      </c>
      <c r="FE18" s="461">
        <f t="shared" si="31"/>
        <v>2439000</v>
      </c>
      <c r="FG18" s="461">
        <v>616000</v>
      </c>
      <c r="FH18" s="461">
        <v>297000</v>
      </c>
      <c r="FI18" s="461">
        <v>146000</v>
      </c>
      <c r="FJ18" s="461">
        <v>2439000</v>
      </c>
      <c r="FL18" s="461">
        <f t="shared" si="32"/>
        <v>108978</v>
      </c>
      <c r="FM18" s="461">
        <f t="shared" si="32"/>
        <v>53797</v>
      </c>
      <c r="FN18" s="461">
        <f t="shared" si="32"/>
        <v>16392</v>
      </c>
      <c r="FO18" s="461">
        <f t="shared" si="33"/>
        <v>2438924</v>
      </c>
      <c r="FQ18" s="461">
        <v>458000</v>
      </c>
      <c r="FR18" s="461">
        <v>217362</v>
      </c>
      <c r="FS18" s="461">
        <v>104475</v>
      </c>
      <c r="FT18" s="461">
        <v>2438924</v>
      </c>
      <c r="FV18" s="461">
        <f t="shared" si="34"/>
        <v>149855</v>
      </c>
      <c r="FW18" s="461">
        <f t="shared" si="34"/>
        <v>42495</v>
      </c>
      <c r="FX18" s="461">
        <f t="shared" si="34"/>
        <v>4801</v>
      </c>
      <c r="FY18" s="461">
        <f t="shared" si="35"/>
        <v>2438924</v>
      </c>
      <c r="GA18" s="461">
        <v>349022</v>
      </c>
      <c r="GB18" s="461">
        <v>163565</v>
      </c>
      <c r="GC18" s="461">
        <v>88083</v>
      </c>
      <c r="GD18" s="461">
        <v>2438924</v>
      </c>
      <c r="GF18" s="461">
        <v>199167</v>
      </c>
      <c r="GG18" s="461">
        <v>121070</v>
      </c>
      <c r="GH18" s="461">
        <v>83282</v>
      </c>
      <c r="GI18" s="461">
        <v>2438924</v>
      </c>
      <c r="GK18" s="461">
        <f t="shared" si="36"/>
        <v>138116</v>
      </c>
      <c r="GL18" s="461">
        <f t="shared" si="36"/>
        <v>85816</v>
      </c>
      <c r="GM18" s="461">
        <f t="shared" si="36"/>
        <v>74660</v>
      </c>
      <c r="GN18" s="461">
        <f t="shared" si="37"/>
        <v>2491198</v>
      </c>
      <c r="GP18" s="461">
        <v>433911</v>
      </c>
      <c r="GQ18" s="461">
        <v>368213</v>
      </c>
      <c r="GR18" s="461">
        <v>284346</v>
      </c>
      <c r="GS18" s="461">
        <v>2491198</v>
      </c>
      <c r="GU18" s="461">
        <v>83164</v>
      </c>
      <c r="GV18" s="461">
        <v>157959</v>
      </c>
      <c r="GW18" s="461">
        <v>130262</v>
      </c>
      <c r="GX18" s="461">
        <f t="shared" si="38"/>
        <v>2491198</v>
      </c>
      <c r="GZ18" s="461">
        <v>295795</v>
      </c>
      <c r="HA18" s="461">
        <v>282397</v>
      </c>
      <c r="HB18" s="461">
        <v>209686</v>
      </c>
      <c r="HC18" s="461">
        <v>2491198</v>
      </c>
      <c r="HE18" s="458">
        <f t="shared" si="39"/>
        <v>100855</v>
      </c>
      <c r="HF18" s="459">
        <f t="shared" si="39"/>
        <v>52557</v>
      </c>
      <c r="HG18" s="458">
        <f t="shared" si="39"/>
        <v>30330</v>
      </c>
      <c r="HH18" s="458">
        <v>1693053</v>
      </c>
      <c r="HJ18" s="458">
        <v>212631</v>
      </c>
      <c r="HK18" s="459">
        <v>124438</v>
      </c>
      <c r="HL18" s="458">
        <v>79424</v>
      </c>
      <c r="HM18" s="458">
        <v>1693053</v>
      </c>
      <c r="HO18" s="458">
        <v>111776</v>
      </c>
      <c r="HP18" s="459">
        <v>71881</v>
      </c>
      <c r="HQ18" s="458">
        <v>49094</v>
      </c>
      <c r="HR18" s="458">
        <v>1750751</v>
      </c>
      <c r="HS18" s="5"/>
      <c r="HT18" s="143"/>
      <c r="HU18" s="344"/>
      <c r="HV18" s="143"/>
      <c r="HW18" s="143"/>
      <c r="HY18" s="143"/>
      <c r="HZ18" s="344"/>
      <c r="IA18" s="143"/>
      <c r="IB18" s="143"/>
      <c r="ID18" s="143"/>
      <c r="IE18" s="344"/>
      <c r="IF18" s="143"/>
      <c r="IG18" s="143"/>
      <c r="II18" s="143"/>
      <c r="IJ18" s="344"/>
      <c r="IK18" s="143"/>
      <c r="IL18" s="143"/>
      <c r="IO18" s="143"/>
      <c r="IP18" s="344"/>
      <c r="IQ18" s="143"/>
      <c r="IR18" s="143"/>
      <c r="IT18" s="143"/>
      <c r="IU18" s="344"/>
      <c r="IV18" s="143"/>
      <c r="IW18" s="143"/>
      <c r="IY18" s="143"/>
      <c r="IZ18" s="344"/>
      <c r="JA18" s="143"/>
      <c r="JB18" s="143"/>
      <c r="JD18" s="143"/>
      <c r="JE18" s="344"/>
      <c r="JF18" s="143"/>
      <c r="JG18" s="143"/>
      <c r="JI18" s="339"/>
      <c r="JJ18" s="340"/>
      <c r="JK18" s="339"/>
      <c r="JL18" s="339"/>
      <c r="JN18" s="143"/>
      <c r="JO18" s="344"/>
      <c r="JP18" s="143"/>
      <c r="JQ18" s="143"/>
      <c r="JS18" s="143"/>
      <c r="JT18" s="344"/>
      <c r="JU18" s="143"/>
      <c r="JV18" s="143"/>
      <c r="JX18" s="155"/>
      <c r="JY18" s="182"/>
      <c r="JZ18" s="155"/>
      <c r="KA18" s="155"/>
      <c r="KC18" s="155"/>
      <c r="KD18" s="182"/>
      <c r="KE18" s="155"/>
      <c r="KF18" s="155"/>
      <c r="KH18" s="155"/>
      <c r="KI18" s="182"/>
      <c r="KJ18" s="155"/>
      <c r="KK18" s="155"/>
      <c r="KM18" s="155"/>
      <c r="KN18" s="155"/>
      <c r="KO18" s="155"/>
      <c r="KP18" s="155"/>
      <c r="KR18" s="155"/>
      <c r="KS18" s="182"/>
      <c r="KT18" s="155"/>
      <c r="KU18" s="155"/>
      <c r="KV18" s="156"/>
      <c r="KW18" s="155"/>
      <c r="KX18" s="155"/>
      <c r="KY18" s="155"/>
      <c r="KZ18" s="155"/>
      <c r="LA18" s="155"/>
      <c r="LB18" s="155"/>
      <c r="LC18" s="155"/>
      <c r="LD18" s="155"/>
      <c r="LE18" s="155"/>
      <c r="LF18" s="156"/>
      <c r="LG18" s="155"/>
      <c r="LH18" s="155"/>
      <c r="LI18" s="155"/>
      <c r="LJ18" s="155"/>
      <c r="LK18" s="156"/>
      <c r="LL18" s="155"/>
      <c r="LM18" s="155"/>
      <c r="LN18" s="155"/>
      <c r="LO18" s="155"/>
      <c r="LP18" s="156"/>
      <c r="LQ18" s="155"/>
      <c r="LR18" s="155"/>
      <c r="LS18" s="155"/>
      <c r="LT18" s="155"/>
      <c r="LU18" s="156"/>
      <c r="LV18" s="155"/>
      <c r="LW18" s="155"/>
      <c r="LX18" s="155"/>
      <c r="LY18" s="155"/>
      <c r="LZ18" s="156"/>
      <c r="MA18" s="155"/>
      <c r="MB18" s="155"/>
      <c r="MC18" s="155"/>
      <c r="MD18" s="155"/>
      <c r="ME18" s="156"/>
      <c r="MF18" s="155"/>
      <c r="MG18" s="155"/>
      <c r="MH18" s="155"/>
      <c r="MI18" s="155"/>
      <c r="MJ18" s="156"/>
      <c r="MK18" s="155"/>
      <c r="ML18" s="155"/>
      <c r="MM18" s="155"/>
      <c r="MN18" s="155"/>
      <c r="MO18" s="156"/>
      <c r="MP18" s="155"/>
      <c r="MQ18" s="155"/>
      <c r="MR18" s="155"/>
      <c r="MS18" s="155"/>
      <c r="MT18" s="156"/>
      <c r="MU18" s="155"/>
      <c r="MV18" s="155"/>
      <c r="MW18" s="155"/>
      <c r="MX18" s="155"/>
      <c r="MY18" s="156"/>
      <c r="MZ18" s="155"/>
      <c r="NA18" s="155"/>
      <c r="NB18" s="155"/>
      <c r="NC18" s="155"/>
      <c r="ND18" s="156"/>
      <c r="NE18" s="155"/>
      <c r="NF18" s="155"/>
      <c r="NG18" s="155"/>
      <c r="NH18" s="155"/>
      <c r="NI18" s="162"/>
      <c r="NJ18" s="155"/>
      <c r="NK18" s="155"/>
      <c r="NL18" s="155"/>
      <c r="NM18" s="155"/>
      <c r="NN18" s="162"/>
      <c r="NO18" s="155"/>
      <c r="NP18" s="155"/>
      <c r="NQ18" s="155"/>
      <c r="NR18" s="155"/>
      <c r="NS18" s="156"/>
      <c r="NT18" s="155"/>
      <c r="NU18" s="155"/>
      <c r="NV18" s="155"/>
      <c r="NW18" s="155"/>
      <c r="NX18" s="156"/>
      <c r="NY18" s="155"/>
      <c r="NZ18" s="155"/>
      <c r="OA18" s="155"/>
      <c r="OB18" s="155"/>
      <c r="OC18" s="156"/>
      <c r="OD18" s="155"/>
      <c r="OE18" s="155"/>
      <c r="OF18" s="155"/>
      <c r="OG18" s="155"/>
      <c r="OH18" s="156"/>
      <c r="OI18" s="155"/>
      <c r="OJ18" s="155"/>
      <c r="OK18" s="155"/>
      <c r="OL18" s="155"/>
      <c r="OM18" s="156"/>
      <c r="ON18" s="156"/>
      <c r="OO18" s="156"/>
      <c r="OP18" s="156"/>
      <c r="OQ18" s="156"/>
      <c r="OR18" s="156"/>
      <c r="OS18" s="156"/>
      <c r="OT18" s="156"/>
      <c r="OU18" s="156"/>
      <c r="OV18" s="156"/>
      <c r="OW18" s="156"/>
      <c r="OX18" s="156"/>
      <c r="OY18" s="156"/>
      <c r="OZ18" s="156"/>
      <c r="PA18" s="156"/>
      <c r="PB18" s="156"/>
      <c r="PC18" s="156"/>
      <c r="PD18" s="156"/>
      <c r="PE18" s="156"/>
      <c r="PF18" s="156"/>
      <c r="PG18" s="156"/>
      <c r="PH18" s="156"/>
      <c r="PI18" s="156"/>
      <c r="PJ18" s="156"/>
      <c r="PK18" s="156"/>
      <c r="PL18" s="156"/>
      <c r="PM18" s="156"/>
      <c r="PN18" s="156"/>
      <c r="PO18" s="156"/>
      <c r="PP18" s="156"/>
      <c r="PQ18" s="156"/>
      <c r="PR18" s="156"/>
      <c r="PS18" s="156"/>
      <c r="PT18" s="156"/>
      <c r="PU18" s="156"/>
      <c r="PV18" s="156"/>
      <c r="PW18" s="156"/>
      <c r="PX18" s="156"/>
      <c r="PY18" s="156"/>
      <c r="PZ18" s="156"/>
      <c r="QA18" s="156"/>
      <c r="QB18" s="156"/>
      <c r="QC18" s="156"/>
      <c r="QD18" s="156"/>
      <c r="QE18" s="156"/>
      <c r="QF18" s="156"/>
      <c r="QG18" s="156"/>
      <c r="QH18" s="156"/>
      <c r="QI18" s="156"/>
      <c r="QJ18" s="156"/>
      <c r="QK18" s="156"/>
      <c r="QL18" s="156"/>
      <c r="QM18" s="156"/>
      <c r="QN18" s="156"/>
      <c r="QO18" s="156"/>
      <c r="QP18" s="156"/>
      <c r="QQ18" s="156"/>
      <c r="QR18" s="156"/>
      <c r="QS18" s="156"/>
      <c r="QT18" s="156"/>
    </row>
    <row r="19" spans="1:462" ht="15" customHeight="1">
      <c r="A19" s="58" t="s">
        <v>76</v>
      </c>
      <c r="C19" s="757">
        <f>'[3]segmenty prez'!$B$48*1000</f>
        <v>6225000</v>
      </c>
      <c r="D19" s="757">
        <f>'[3]segmenty prez'!$B$58*1000</f>
        <v>2497000</v>
      </c>
      <c r="E19" s="757">
        <f>'[3]segmenty prez'!$B$54*1000</f>
        <v>1753000</v>
      </c>
      <c r="F19" s="757">
        <f>'[3]segmenty prez'!$B$67*1000</f>
        <v>28512000</v>
      </c>
      <c r="H19" s="757">
        <f>'[3]segmenty 3 m-ce PREZ'!$B$41*1000</f>
        <v>3012000</v>
      </c>
      <c r="I19" s="757">
        <f>'[3]segmenty 3 m-ce PREZ'!$B$51*1000</f>
        <v>1271000</v>
      </c>
      <c r="J19" s="757">
        <f>'[3]segmenty 3 m-ce PREZ'!$B$47*1000</f>
        <v>894000</v>
      </c>
      <c r="K19" s="757">
        <f t="shared" si="41"/>
        <v>28512000</v>
      </c>
      <c r="M19" s="668">
        <f>('[4]segmenty prez'!$B$48)*1000</f>
        <v>3213000</v>
      </c>
      <c r="N19" s="668">
        <f>('[4]segmenty prez'!$B$58)*1000</f>
        <v>1226000</v>
      </c>
      <c r="O19" s="668">
        <f>('[4]segmenty prez'!$B$54)*1000</f>
        <v>859000</v>
      </c>
      <c r="P19" s="668">
        <f>('[4]segmenty prez'!$B$67)*1000</f>
        <v>28512000</v>
      </c>
      <c r="R19" s="668">
        <f>([5]segmenty!$E$49)*1000</f>
        <v>11434000</v>
      </c>
      <c r="S19" s="668">
        <f>([5]segmenty!$E$76)*1000</f>
        <v>3963000</v>
      </c>
      <c r="T19" s="668">
        <f>([5]segmenty!$E$73)*1000</f>
        <v>2547000</v>
      </c>
      <c r="U19" s="668">
        <f>([5]segmenty!$E$67)*1000</f>
        <v>25961000</v>
      </c>
      <c r="W19" s="671">
        <f t="shared" si="42"/>
        <v>2845000</v>
      </c>
      <c r="X19" s="671">
        <f t="shared" si="43"/>
        <v>863000</v>
      </c>
      <c r="Y19" s="671">
        <f t="shared" si="44"/>
        <v>494000</v>
      </c>
      <c r="Z19" s="671">
        <f t="shared" si="45"/>
        <v>25961000</v>
      </c>
      <c r="AB19" s="668">
        <f>'[6]segmenty prez'!$E$45*1000</f>
        <v>8589000</v>
      </c>
      <c r="AC19" s="668">
        <f>'[6]segmenty prez'!$E$52*1000</f>
        <v>3100000</v>
      </c>
      <c r="AD19" s="668">
        <f>'[6]segmenty prez'!$E$48*1000</f>
        <v>2053000</v>
      </c>
      <c r="AE19" s="668">
        <f>'[6]segmenty prez'!$E$61*1000</f>
        <v>25961000</v>
      </c>
      <c r="AG19" s="671">
        <f>([6]segmenty!$E$47)*1000</f>
        <v>8589000</v>
      </c>
      <c r="AH19" s="671">
        <f>([6]segmenty!$E$72)*1000</f>
        <v>3100000</v>
      </c>
      <c r="AI19" s="671">
        <f>([6]segmenty!$E$69)*1000</f>
        <v>2053000</v>
      </c>
      <c r="AJ19" s="671">
        <f t="shared" si="46"/>
        <v>25961000</v>
      </c>
      <c r="AL19" s="668">
        <f>'[7]segmenty prez'!$E$45*1000</f>
        <v>5714000</v>
      </c>
      <c r="AM19" s="668">
        <f>'[7]segmenty prez'!$E$52*1000</f>
        <v>2079000</v>
      </c>
      <c r="AN19" s="668">
        <f>'[7]segmenty prez'!$E$48*1000</f>
        <v>1389000</v>
      </c>
      <c r="AO19" s="668">
        <f>'[7]segmenty prez'!$E$61*1000</f>
        <v>25961000</v>
      </c>
      <c r="AQ19" s="668">
        <f>'[7]segmenty 3 m-ce PREZ'!$E$38*1000</f>
        <v>2876000</v>
      </c>
      <c r="AR19" s="668">
        <f>'[7]segmenty 3 m-ce PREZ'!$E$45*1000</f>
        <v>1064000</v>
      </c>
      <c r="AS19" s="668">
        <f>'[7]segmenty 3 m-ce PREZ'!$E$41*1000</f>
        <v>715000</v>
      </c>
      <c r="AT19" s="668">
        <f t="shared" si="47"/>
        <v>25961000</v>
      </c>
      <c r="AV19" s="668">
        <f>([8]segmenty!$E$47)*1000</f>
        <v>2838000</v>
      </c>
      <c r="AW19" s="668">
        <f>([8]segmenty!$E$72)*1000</f>
        <v>1015000</v>
      </c>
      <c r="AX19" s="668">
        <f>([8]segmenty!$E$69)*1000</f>
        <v>674000</v>
      </c>
      <c r="AY19" s="668">
        <f>([8]segmenty!$E$63)*1000</f>
        <v>25961000</v>
      </c>
      <c r="BA19" s="668">
        <f>([9]segmenty!$E$47)*1000</f>
        <v>11155000</v>
      </c>
      <c r="BB19" s="668">
        <f>([9]segmenty!$E$72)*1000</f>
        <v>2962000</v>
      </c>
      <c r="BC19" s="668">
        <f>([9]segmenty!$E$69)*1000</f>
        <v>1630000</v>
      </c>
      <c r="BD19" s="668">
        <f>([9]segmenty!$E$63)*1000</f>
        <v>24194000</v>
      </c>
      <c r="BF19" s="668">
        <f t="shared" si="58"/>
        <v>2777000</v>
      </c>
      <c r="BG19" s="668">
        <f t="shared" si="48"/>
        <v>119000</v>
      </c>
      <c r="BH19" s="668">
        <f t="shared" si="48"/>
        <v>-229000</v>
      </c>
      <c r="BI19" s="668">
        <f t="shared" si="49"/>
        <v>24194000</v>
      </c>
      <c r="BK19" s="668">
        <f>([10]segmenty!$E$47)*1000-583000</f>
        <v>8378000</v>
      </c>
      <c r="BL19" s="668">
        <f>([10]segmenty!$E$72)*1000-583000</f>
        <v>2843000</v>
      </c>
      <c r="BM19" s="668">
        <f>([10]segmenty!$E$69)*1000-583000</f>
        <v>1859000</v>
      </c>
      <c r="BN19" s="668">
        <f>([10]segmenty!$E$63)*1000</f>
        <v>24194000</v>
      </c>
      <c r="BP19" s="668">
        <f>('[6]segmenty 3 m-ce PREZ'!$E$38)*1000</f>
        <v>2875000</v>
      </c>
      <c r="BQ19" s="668">
        <f>('[6]segmenty 3 m-ce PREZ'!$E$45)*1000</f>
        <v>1021000</v>
      </c>
      <c r="BR19" s="668">
        <f>('[6]segmenty 3 m-ce PREZ'!$E$41)*1000</f>
        <v>664000</v>
      </c>
      <c r="BS19" s="668">
        <f t="shared" si="50"/>
        <v>24194000</v>
      </c>
      <c r="BU19" s="668">
        <f>6116000-583000</f>
        <v>5533000</v>
      </c>
      <c r="BV19" s="668">
        <f>2328000-583000</f>
        <v>1745000</v>
      </c>
      <c r="BW19" s="668">
        <f>1679000-583000</f>
        <v>1096000</v>
      </c>
      <c r="BX19" s="668">
        <v>24194000</v>
      </c>
      <c r="BZ19" s="668">
        <f>2789000+3000</f>
        <v>2792000</v>
      </c>
      <c r="CA19" s="668">
        <f>1042000+3000</f>
        <v>1045000</v>
      </c>
      <c r="CB19" s="668">
        <f>712000+3000</f>
        <v>715000</v>
      </c>
      <c r="CC19" s="668">
        <f t="shared" si="51"/>
        <v>24194000</v>
      </c>
      <c r="CE19" s="668">
        <f>[11]segmenty!$D$47*1000-586000</f>
        <v>2741000</v>
      </c>
      <c r="CF19" s="668">
        <f>[11]segmenty!$D$72*1000-586000</f>
        <v>700000</v>
      </c>
      <c r="CG19" s="668">
        <f>[11]segmenty!$D$69*1000-1000-586000</f>
        <v>381000</v>
      </c>
      <c r="CH19" s="668">
        <f>[11]segmenty!$D$63*1000</f>
        <v>24189000</v>
      </c>
      <c r="CJ19" s="668">
        <f>([12]segmenty!$D$48)*1000</f>
        <v>7611000</v>
      </c>
      <c r="CK19" s="668">
        <f>([12]segmenty!$D$73)*1000</f>
        <v>2939000</v>
      </c>
      <c r="CL19" s="668">
        <f>([12]segmenty!$D$70)*1000</f>
        <v>1679000</v>
      </c>
      <c r="CM19" s="668">
        <f>([12]segmenty!$D$64)*1000</f>
        <v>22174000</v>
      </c>
      <c r="CO19" s="668">
        <f t="shared" si="52"/>
        <v>1880000</v>
      </c>
      <c r="CP19" s="668">
        <f t="shared" si="52"/>
        <v>590000</v>
      </c>
      <c r="CQ19" s="668">
        <f t="shared" si="52"/>
        <v>264000</v>
      </c>
      <c r="CR19" s="668">
        <f t="shared" si="53"/>
        <v>22174000</v>
      </c>
      <c r="CT19" s="668">
        <f>([13]segmenty!$D$48)*1000</f>
        <v>5731000</v>
      </c>
      <c r="CU19" s="668">
        <f>([13]segmenty!$D$73)*1000</f>
        <v>2349000</v>
      </c>
      <c r="CV19" s="668">
        <f>([13]segmenty!$D$70)*1000</f>
        <v>1415000</v>
      </c>
      <c r="CW19" s="668">
        <f>([13]segmenty!$D$64)*1000</f>
        <v>22174000</v>
      </c>
      <c r="CY19" s="668">
        <f>('[13]segmenty 3 m-ce PREZ'!$D$39)*1000</f>
        <v>1812000</v>
      </c>
      <c r="CZ19" s="668">
        <f>('[13]segmenty 3 m-ce PREZ'!$D$46)*1000</f>
        <v>640000</v>
      </c>
      <c r="DA19" s="668">
        <f>('[13]segmenty 3 m-ce PREZ'!$D$42)*1000</f>
        <v>323000</v>
      </c>
      <c r="DB19" s="668">
        <f t="shared" si="54"/>
        <v>22174000</v>
      </c>
      <c r="DD19" s="668">
        <f>([14]segmenty!$D$48)*1000</f>
        <v>3919000</v>
      </c>
      <c r="DE19" s="668">
        <f>([14]segmenty!$D$72)*1000</f>
        <v>1709000</v>
      </c>
      <c r="DF19" s="668">
        <f>([14]segmenty!$D$69)*1000</f>
        <v>1092000</v>
      </c>
      <c r="DG19" s="668">
        <f>([14]segmenty!$D$63)*1000</f>
        <v>22174000</v>
      </c>
      <c r="DI19" s="668">
        <f>('[14]segmenty 3 m-ce'!$D$101)*1000</f>
        <v>1896000</v>
      </c>
      <c r="DJ19" s="668">
        <f>('[14]segmenty 3 m-ce'!$D$115)*1000</f>
        <v>845000</v>
      </c>
      <c r="DK19" s="668">
        <f>('[14]segmenty 3 m-ce'!$D$112)*1000</f>
        <v>531000</v>
      </c>
      <c r="DL19" s="668">
        <f t="shared" si="55"/>
        <v>22174000</v>
      </c>
      <c r="DN19" s="668">
        <f>[15]segmenty!$D$48*1000</f>
        <v>2023000</v>
      </c>
      <c r="DO19" s="668">
        <f>[15]segmenty!$D$71*1000</f>
        <v>864000</v>
      </c>
      <c r="DP19" s="668">
        <f>[15]segmenty!$D$69*1000</f>
        <v>561000</v>
      </c>
      <c r="DQ19" s="668">
        <f>[15]segmenty!$D$63*1000</f>
        <v>22174000</v>
      </c>
      <c r="DS19" s="668">
        <f t="shared" si="56"/>
        <v>1838000</v>
      </c>
      <c r="DT19" s="668">
        <f t="shared" si="56"/>
        <v>717000</v>
      </c>
      <c r="DU19" s="668">
        <f t="shared" si="56"/>
        <v>410000</v>
      </c>
      <c r="DV19" s="668">
        <f t="shared" si="57"/>
        <v>21117000</v>
      </c>
      <c r="DX19" s="668">
        <v>7099000</v>
      </c>
      <c r="DY19" s="668">
        <v>2967000</v>
      </c>
      <c r="DZ19" s="668">
        <v>1767000</v>
      </c>
      <c r="EA19" s="668">
        <v>21117000</v>
      </c>
      <c r="EC19" s="461">
        <v>1742000</v>
      </c>
      <c r="ED19" s="461">
        <v>731000</v>
      </c>
      <c r="EE19" s="461">
        <v>433000</v>
      </c>
      <c r="EF19" s="461">
        <f t="shared" si="28"/>
        <v>21117000</v>
      </c>
      <c r="EH19" s="461">
        <v>5261000</v>
      </c>
      <c r="EI19" s="461">
        <v>2250000</v>
      </c>
      <c r="EJ19" s="461">
        <v>1357000</v>
      </c>
      <c r="EK19" s="461">
        <v>21117000</v>
      </c>
      <c r="EM19" s="461">
        <f t="shared" si="29"/>
        <v>1713000</v>
      </c>
      <c r="EN19" s="461">
        <f t="shared" si="29"/>
        <v>778000</v>
      </c>
      <c r="EO19" s="461">
        <f t="shared" si="29"/>
        <v>479000</v>
      </c>
      <c r="EP19" s="461">
        <v>21117000</v>
      </c>
      <c r="ER19" s="461">
        <v>3519000</v>
      </c>
      <c r="ES19" s="461">
        <v>1519000</v>
      </c>
      <c r="ET19" s="461">
        <v>924000</v>
      </c>
      <c r="EU19" s="461">
        <v>21117000</v>
      </c>
      <c r="EW19" s="461">
        <v>1806000</v>
      </c>
      <c r="EX19" s="461">
        <v>741000</v>
      </c>
      <c r="EY19" s="461">
        <v>445000</v>
      </c>
      <c r="EZ19" s="461">
        <v>21117000</v>
      </c>
      <c r="FB19" s="461">
        <f t="shared" si="30"/>
        <v>1787223</v>
      </c>
      <c r="FC19" s="461">
        <f t="shared" si="30"/>
        <v>606124</v>
      </c>
      <c r="FD19" s="461">
        <f t="shared" si="30"/>
        <v>305504</v>
      </c>
      <c r="FE19" s="461">
        <f t="shared" si="31"/>
        <v>20079000</v>
      </c>
      <c r="FG19" s="461">
        <v>6866000</v>
      </c>
      <c r="FH19" s="461">
        <v>3023000</v>
      </c>
      <c r="FI19" s="461">
        <v>1857000</v>
      </c>
      <c r="FJ19" s="461">
        <v>20079000</v>
      </c>
      <c r="FL19" s="461">
        <f t="shared" si="32"/>
        <v>1720223</v>
      </c>
      <c r="FM19" s="461">
        <f t="shared" si="32"/>
        <v>728175</v>
      </c>
      <c r="FN19" s="461">
        <f t="shared" si="32"/>
        <v>436050</v>
      </c>
      <c r="FO19" s="461">
        <f t="shared" si="33"/>
        <v>20079215</v>
      </c>
      <c r="FQ19" s="461">
        <v>5078777</v>
      </c>
      <c r="FR19" s="461">
        <v>2416876</v>
      </c>
      <c r="FS19" s="461">
        <v>1551496</v>
      </c>
      <c r="FT19" s="461">
        <v>20079215</v>
      </c>
      <c r="FV19" s="461">
        <f t="shared" si="34"/>
        <v>1569529</v>
      </c>
      <c r="FW19" s="461">
        <f t="shared" si="34"/>
        <v>1005158</v>
      </c>
      <c r="FX19" s="461">
        <f t="shared" si="34"/>
        <v>715011</v>
      </c>
      <c r="FY19" s="461">
        <f t="shared" si="35"/>
        <v>20079215</v>
      </c>
      <c r="GA19" s="461">
        <v>3358554</v>
      </c>
      <c r="GB19" s="461">
        <v>1688701</v>
      </c>
      <c r="GC19" s="461">
        <v>1115446</v>
      </c>
      <c r="GD19" s="461">
        <v>20079215</v>
      </c>
      <c r="GF19" s="461">
        <v>1789025</v>
      </c>
      <c r="GG19" s="461">
        <v>683543</v>
      </c>
      <c r="GH19" s="461">
        <v>400435</v>
      </c>
      <c r="GI19" s="461">
        <v>20079215</v>
      </c>
      <c r="GK19" s="461">
        <f t="shared" si="36"/>
        <v>1696579</v>
      </c>
      <c r="GL19" s="461">
        <f t="shared" si="36"/>
        <v>585541</v>
      </c>
      <c r="GM19" s="461">
        <f t="shared" si="36"/>
        <v>292644</v>
      </c>
      <c r="GN19" s="461">
        <f t="shared" si="37"/>
        <v>19176164</v>
      </c>
      <c r="GP19" s="461">
        <v>6594864</v>
      </c>
      <c r="GQ19" s="461">
        <v>2605808</v>
      </c>
      <c r="GR19" s="461">
        <v>1443741</v>
      </c>
      <c r="GS19" s="461">
        <v>19176164</v>
      </c>
      <c r="GU19" s="461">
        <v>1622943</v>
      </c>
      <c r="GV19" s="461">
        <v>662963</v>
      </c>
      <c r="GW19" s="461">
        <v>373021</v>
      </c>
      <c r="GX19" s="461">
        <f t="shared" si="38"/>
        <v>19176164</v>
      </c>
      <c r="GZ19" s="461">
        <v>4898285</v>
      </c>
      <c r="HA19" s="461">
        <v>2020267</v>
      </c>
      <c r="HB19" s="461">
        <v>1151097</v>
      </c>
      <c r="HC19" s="461">
        <v>19176164</v>
      </c>
      <c r="HE19" s="458">
        <f t="shared" si="39"/>
        <v>1594121</v>
      </c>
      <c r="HF19" s="459">
        <f t="shared" si="39"/>
        <v>656334</v>
      </c>
      <c r="HG19" s="458">
        <f t="shared" si="39"/>
        <v>374556</v>
      </c>
      <c r="HH19" s="458">
        <v>19176164</v>
      </c>
      <c r="HJ19" s="458">
        <v>3275342</v>
      </c>
      <c r="HK19" s="459">
        <v>1357304</v>
      </c>
      <c r="HL19" s="458">
        <v>778076</v>
      </c>
      <c r="HM19" s="458">
        <v>19176164</v>
      </c>
      <c r="HO19" s="458">
        <v>1681221</v>
      </c>
      <c r="HP19" s="459">
        <v>700970</v>
      </c>
      <c r="HQ19" s="458">
        <v>403520</v>
      </c>
      <c r="HR19" s="458">
        <v>19176164</v>
      </c>
      <c r="HS19" s="5"/>
      <c r="HT19" s="143">
        <v>6060201</v>
      </c>
      <c r="HU19" s="344">
        <v>2465537</v>
      </c>
      <c r="HV19" s="143">
        <v>1391155</v>
      </c>
      <c r="HW19" s="143">
        <v>17923661</v>
      </c>
      <c r="HY19" s="143">
        <v>1573539</v>
      </c>
      <c r="HZ19" s="344">
        <v>549667</v>
      </c>
      <c r="IA19" s="143">
        <v>269983</v>
      </c>
      <c r="IB19" s="143">
        <v>17923661</v>
      </c>
      <c r="ID19" s="143">
        <v>4486662</v>
      </c>
      <c r="IE19" s="344">
        <v>1915870</v>
      </c>
      <c r="IF19" s="143">
        <v>1121172</v>
      </c>
      <c r="IG19" s="143">
        <v>17923661</v>
      </c>
      <c r="II19" s="143">
        <v>1462463</v>
      </c>
      <c r="IJ19" s="344">
        <v>608204</v>
      </c>
      <c r="IK19" s="143">
        <v>338355</v>
      </c>
      <c r="IL19" s="143">
        <v>17923661</v>
      </c>
      <c r="IO19" s="143">
        <v>3024199</v>
      </c>
      <c r="IP19" s="344">
        <v>1307666</v>
      </c>
      <c r="IQ19" s="143">
        <v>782817</v>
      </c>
      <c r="IR19" s="143">
        <v>17923661</v>
      </c>
      <c r="IT19" s="143">
        <v>1453332</v>
      </c>
      <c r="IU19" s="344">
        <v>679813</v>
      </c>
      <c r="IV19" s="143">
        <v>414167</v>
      </c>
      <c r="IW19" s="143">
        <v>17923661</v>
      </c>
      <c r="IY19" s="143">
        <v>1570867</v>
      </c>
      <c r="IZ19" s="344">
        <v>627853</v>
      </c>
      <c r="JA19" s="143">
        <v>368650</v>
      </c>
      <c r="JB19" s="143">
        <v>17923661</v>
      </c>
      <c r="JD19" s="143">
        <v>6719943</v>
      </c>
      <c r="JE19" s="344">
        <v>2282685</v>
      </c>
      <c r="JF19" s="143">
        <v>1210925</v>
      </c>
      <c r="JG19" s="143">
        <v>17409160</v>
      </c>
      <c r="JI19" s="339">
        <v>1733033</v>
      </c>
      <c r="JJ19" s="340">
        <v>488087</v>
      </c>
      <c r="JK19" s="339">
        <v>212156</v>
      </c>
      <c r="JL19" s="339">
        <v>17409160</v>
      </c>
      <c r="JN19" s="143">
        <v>4986910</v>
      </c>
      <c r="JO19" s="344">
        <v>1794598</v>
      </c>
      <c r="JP19" s="143">
        <v>998769</v>
      </c>
      <c r="JQ19" s="143">
        <v>17409160</v>
      </c>
      <c r="JS19" s="143">
        <v>1618916</v>
      </c>
      <c r="JT19" s="344">
        <v>591288</v>
      </c>
      <c r="JU19" s="143">
        <v>321449</v>
      </c>
      <c r="JV19" s="143">
        <v>17409160</v>
      </c>
      <c r="JX19" s="155">
        <v>3367994</v>
      </c>
      <c r="JY19" s="182">
        <v>1203310</v>
      </c>
      <c r="JZ19" s="155">
        <v>677320</v>
      </c>
      <c r="KA19" s="155">
        <v>17409160</v>
      </c>
      <c r="KC19" s="155">
        <v>331709</v>
      </c>
      <c r="KD19" s="182">
        <v>596299</v>
      </c>
      <c r="KE19" s="155">
        <v>331709</v>
      </c>
      <c r="KF19" s="155">
        <v>17409160</v>
      </c>
      <c r="KH19" s="155">
        <v>1733421</v>
      </c>
      <c r="KI19" s="182">
        <v>607011</v>
      </c>
      <c r="KJ19" s="155">
        <v>345611</v>
      </c>
      <c r="KK19" s="155">
        <v>17409160</v>
      </c>
      <c r="KM19" s="155">
        <v>6310216</v>
      </c>
      <c r="KN19" s="155">
        <v>2394812</v>
      </c>
      <c r="KO19" s="155">
        <v>1363236</v>
      </c>
      <c r="KP19" s="155">
        <v>16761938</v>
      </c>
      <c r="KR19" s="155">
        <v>1634118</v>
      </c>
      <c r="KS19" s="182">
        <v>685152</v>
      </c>
      <c r="KT19" s="155">
        <v>416722</v>
      </c>
      <c r="KU19" s="155">
        <v>16761938</v>
      </c>
      <c r="KV19" s="156"/>
      <c r="KW19" s="155">
        <v>4676098</v>
      </c>
      <c r="KX19" s="155">
        <v>1709660</v>
      </c>
      <c r="KY19" s="155">
        <v>946514</v>
      </c>
      <c r="KZ19" s="155">
        <v>16761938</v>
      </c>
      <c r="LA19" s="155"/>
      <c r="LB19" s="155">
        <v>1531592</v>
      </c>
      <c r="LC19" s="155">
        <v>562063</v>
      </c>
      <c r="LD19" s="155">
        <v>302990</v>
      </c>
      <c r="LE19" s="155">
        <v>16761938</v>
      </c>
      <c r="LF19" s="156"/>
      <c r="LG19" s="155">
        <v>3144506</v>
      </c>
      <c r="LH19" s="155">
        <v>1147597</v>
      </c>
      <c r="LI19" s="155">
        <v>643524</v>
      </c>
      <c r="LJ19" s="155">
        <v>16761938</v>
      </c>
      <c r="LK19" s="156"/>
      <c r="LL19" s="155">
        <f t="shared" si="40"/>
        <v>1528119</v>
      </c>
      <c r="LM19" s="155">
        <f t="shared" si="40"/>
        <v>604338</v>
      </c>
      <c r="LN19" s="155">
        <f t="shared" si="40"/>
        <v>351932</v>
      </c>
      <c r="LO19" s="155">
        <f>LT19</f>
        <v>16761938</v>
      </c>
      <c r="LP19" s="156"/>
      <c r="LQ19" s="155">
        <v>1616387</v>
      </c>
      <c r="LR19" s="155">
        <v>543259</v>
      </c>
      <c r="LS19" s="155">
        <v>291592</v>
      </c>
      <c r="LT19" s="155">
        <v>16761938</v>
      </c>
      <c r="LU19" s="156"/>
      <c r="LV19" s="155">
        <v>6450274</v>
      </c>
      <c r="LW19" s="155">
        <v>2372129</v>
      </c>
      <c r="LX19" s="155">
        <v>1371577</v>
      </c>
      <c r="LY19" s="155">
        <v>15974893</v>
      </c>
      <c r="LZ19" s="156"/>
      <c r="MA19" s="155">
        <v>1657399</v>
      </c>
      <c r="MB19" s="155">
        <v>532836</v>
      </c>
      <c r="MC19" s="155">
        <v>264854</v>
      </c>
      <c r="MD19" s="155">
        <v>15974893</v>
      </c>
      <c r="ME19" s="156"/>
      <c r="MF19" s="155">
        <v>4792875</v>
      </c>
      <c r="MG19" s="155">
        <v>1839293</v>
      </c>
      <c r="MH19" s="155">
        <v>1106723</v>
      </c>
      <c r="MI19" s="155">
        <v>15974893</v>
      </c>
      <c r="MJ19" s="156"/>
      <c r="MK19" s="155">
        <v>1564518</v>
      </c>
      <c r="ML19" s="155">
        <v>596633</v>
      </c>
      <c r="MM19" s="155">
        <v>348307</v>
      </c>
      <c r="MN19" s="155">
        <v>15974893</v>
      </c>
      <c r="MO19" s="156"/>
      <c r="MP19" s="155">
        <v>3228357</v>
      </c>
      <c r="MQ19" s="155">
        <v>1242660</v>
      </c>
      <c r="MR19" s="155">
        <v>758416</v>
      </c>
      <c r="MS19" s="155">
        <v>15974893</v>
      </c>
      <c r="MT19" s="156"/>
      <c r="MU19" s="155">
        <v>1585385</v>
      </c>
      <c r="MV19" s="155">
        <v>696000</v>
      </c>
      <c r="MW19" s="155">
        <v>453363</v>
      </c>
      <c r="MX19" s="155">
        <v>15974893</v>
      </c>
      <c r="MY19" s="156"/>
      <c r="MZ19" s="155">
        <v>1642972</v>
      </c>
      <c r="NA19" s="155">
        <v>546660</v>
      </c>
      <c r="NB19" s="155">
        <v>305053</v>
      </c>
      <c r="NC19" s="155">
        <v>15974893</v>
      </c>
      <c r="ND19" s="156"/>
      <c r="NE19" s="155">
        <v>6074646</v>
      </c>
      <c r="NF19" s="155">
        <v>2172288</v>
      </c>
      <c r="NG19" s="155">
        <v>1209344</v>
      </c>
      <c r="NH19" s="155">
        <v>15012125</v>
      </c>
      <c r="NI19" s="162"/>
      <c r="NJ19" s="155">
        <v>1545835</v>
      </c>
      <c r="NK19" s="155">
        <v>394396</v>
      </c>
      <c r="NL19" s="155">
        <v>138507</v>
      </c>
      <c r="NM19" s="155">
        <v>15012125</v>
      </c>
      <c r="NN19" s="162"/>
      <c r="NO19" s="155">
        <v>4528811</v>
      </c>
      <c r="NP19" s="155">
        <v>1777892</v>
      </c>
      <c r="NQ19" s="155">
        <v>1070837</v>
      </c>
      <c r="NR19" s="155">
        <v>15012125</v>
      </c>
      <c r="NS19" s="156"/>
      <c r="NT19" s="155">
        <v>1479860</v>
      </c>
      <c r="NU19" s="155">
        <v>608152</v>
      </c>
      <c r="NV19" s="155">
        <v>370825</v>
      </c>
      <c r="NW19" s="155">
        <v>15012125</v>
      </c>
      <c r="NX19" s="156"/>
      <c r="NY19" s="155">
        <v>3048951</v>
      </c>
      <c r="NZ19" s="155">
        <v>1169688</v>
      </c>
      <c r="OA19" s="155">
        <v>700012</v>
      </c>
      <c r="OB19" s="155">
        <v>15012125</v>
      </c>
      <c r="OC19" s="156"/>
      <c r="OD19" s="155">
        <v>1490614</v>
      </c>
      <c r="OE19" s="155">
        <v>612000</v>
      </c>
      <c r="OF19" s="155">
        <v>376007</v>
      </c>
      <c r="OG19" s="155">
        <v>15012125</v>
      </c>
      <c r="OH19" s="156"/>
      <c r="OI19" s="155">
        <v>1558337</v>
      </c>
      <c r="OJ19" s="155">
        <v>557688</v>
      </c>
      <c r="OK19" s="155">
        <v>324005</v>
      </c>
      <c r="OL19" s="155">
        <v>15012125</v>
      </c>
      <c r="OM19" s="156"/>
      <c r="ON19" s="177" t="s">
        <v>370</v>
      </c>
      <c r="OO19" s="178" t="s">
        <v>178</v>
      </c>
      <c r="OP19" s="159" t="s">
        <v>89</v>
      </c>
      <c r="OQ19" s="159" t="s">
        <v>90</v>
      </c>
      <c r="OR19" s="159" t="s">
        <v>179</v>
      </c>
      <c r="OS19" s="156"/>
      <c r="OT19" s="178" t="s">
        <v>368</v>
      </c>
      <c r="OU19" s="159" t="s">
        <v>96</v>
      </c>
      <c r="OV19" s="159" t="s">
        <v>101</v>
      </c>
      <c r="OW19" s="159" t="s">
        <v>190</v>
      </c>
      <c r="OX19" s="156"/>
      <c r="OY19" s="159" t="s">
        <v>192</v>
      </c>
      <c r="OZ19" s="159" t="s">
        <v>99</v>
      </c>
      <c r="PA19" s="159" t="s">
        <v>100</v>
      </c>
      <c r="PB19" s="178" t="s">
        <v>195</v>
      </c>
      <c r="PC19" s="156"/>
      <c r="PD19" s="156"/>
      <c r="PE19" s="156"/>
      <c r="PF19" s="156"/>
      <c r="PG19" s="156"/>
      <c r="PH19" s="156"/>
      <c r="PI19" s="156"/>
      <c r="PJ19" s="156"/>
      <c r="PK19" s="156"/>
      <c r="PL19" s="156"/>
      <c r="PM19" s="156"/>
      <c r="PN19" s="156"/>
      <c r="PO19" s="156"/>
      <c r="PP19" s="156"/>
      <c r="PQ19" s="156"/>
      <c r="PR19" s="156"/>
      <c r="PS19" s="156"/>
      <c r="PT19" s="156"/>
      <c r="PU19" s="156"/>
      <c r="PV19" s="156"/>
      <c r="PW19" s="156"/>
      <c r="PX19" s="156"/>
      <c r="PY19" s="156"/>
      <c r="PZ19" s="156"/>
      <c r="QA19" s="156"/>
      <c r="QB19" s="156"/>
      <c r="QC19" s="156"/>
      <c r="QD19" s="156"/>
      <c r="QE19" s="156"/>
      <c r="QF19" s="156"/>
      <c r="QG19" s="156"/>
      <c r="QH19" s="156"/>
      <c r="QI19" s="156"/>
      <c r="QJ19" s="156"/>
      <c r="QK19" s="156"/>
      <c r="QL19" s="156"/>
      <c r="QM19" s="156"/>
      <c r="QN19" s="156"/>
      <c r="QO19" s="156"/>
      <c r="QP19" s="156"/>
      <c r="QQ19" s="156"/>
      <c r="QR19" s="156"/>
      <c r="QS19" s="156"/>
      <c r="QT19" s="156"/>
    </row>
    <row r="20" spans="1:462">
      <c r="A20" s="58" t="s">
        <v>77</v>
      </c>
      <c r="C20" s="757">
        <f>'[3]segmenty prez'!$E$48*1000</f>
        <v>13030000</v>
      </c>
      <c r="D20" s="757">
        <f>'[3]segmenty prez'!$E$58*1000</f>
        <v>577000</v>
      </c>
      <c r="E20" s="757">
        <f>'[3]segmenty prez'!$E$54*1000</f>
        <v>574000</v>
      </c>
      <c r="F20" s="757">
        <f>'[3]segmenty prez'!$E$67*1000</f>
        <v>3804000</v>
      </c>
      <c r="H20" s="757">
        <f>'[3]segmenty 3 m-ce PREZ'!$E$41*1000</f>
        <v>6389000</v>
      </c>
      <c r="I20" s="757">
        <f>'[3]segmenty 3 m-ce PREZ'!$E$51*1000</f>
        <v>129000</v>
      </c>
      <c r="J20" s="757">
        <f>'[3]segmenty 3 m-ce PREZ'!$E$47*1000</f>
        <v>127000</v>
      </c>
      <c r="K20" s="757">
        <f t="shared" si="41"/>
        <v>3804000</v>
      </c>
      <c r="M20" s="668">
        <f>('[4]segmenty prez'!$E$48)*1000</f>
        <v>6641000</v>
      </c>
      <c r="N20" s="668">
        <f>('[4]segmenty prez'!$E$58)*1000</f>
        <v>448000</v>
      </c>
      <c r="O20" s="668">
        <f>('[4]segmenty prez'!$E$54)*1000</f>
        <v>447000</v>
      </c>
      <c r="P20" s="668">
        <f>('[4]segmenty prez'!$E$67)*1000</f>
        <v>3804000</v>
      </c>
      <c r="R20" s="668">
        <f>([5]segmenty!$F$49)*1000</f>
        <v>27028000</v>
      </c>
      <c r="S20" s="668">
        <f>([5]segmenty!$F$76)*1000</f>
        <v>545000</v>
      </c>
      <c r="T20" s="668">
        <f>([5]segmenty!$F$73)*1000</f>
        <v>537000</v>
      </c>
      <c r="U20" s="668">
        <f>([5]segmenty!$F$67)*1000</f>
        <v>4457000</v>
      </c>
      <c r="W20" s="671">
        <f t="shared" si="42"/>
        <v>6642000</v>
      </c>
      <c r="X20" s="671">
        <f t="shared" si="43"/>
        <v>-118000</v>
      </c>
      <c r="Y20" s="671">
        <f t="shared" si="44"/>
        <v>-120000</v>
      </c>
      <c r="Z20" s="671">
        <f t="shared" si="45"/>
        <v>4457000</v>
      </c>
      <c r="AB20" s="668">
        <f>'[6]segmenty prez'!$F$45*1000</f>
        <v>20386000</v>
      </c>
      <c r="AC20" s="668">
        <f>'[6]segmenty prez'!$F$52*1000</f>
        <v>663000</v>
      </c>
      <c r="AD20" s="668">
        <f>'[6]segmenty prez'!$F$48*1000</f>
        <v>657000</v>
      </c>
      <c r="AE20" s="668">
        <f>'[6]segmenty prez'!$F$61*1000</f>
        <v>4445000</v>
      </c>
      <c r="AG20" s="671">
        <f>([6]segmenty!$F$47)*1000</f>
        <v>20386000</v>
      </c>
      <c r="AH20" s="671">
        <f>([6]segmenty!$F$72)*1000</f>
        <v>663000</v>
      </c>
      <c r="AI20" s="671">
        <f>([6]segmenty!$F$69)*1000</f>
        <v>657000</v>
      </c>
      <c r="AJ20" s="671">
        <f t="shared" si="46"/>
        <v>4445000</v>
      </c>
      <c r="AL20" s="668">
        <f>'[7]segmenty prez'!$F$45*1000</f>
        <v>12012000</v>
      </c>
      <c r="AM20" s="668">
        <f>'[7]segmenty prez'!$F$52*1000</f>
        <v>614000</v>
      </c>
      <c r="AN20" s="668">
        <f>'[7]segmenty prez'!$F$48*1000</f>
        <v>612000</v>
      </c>
      <c r="AO20" s="668">
        <f>'[7]segmenty prez'!$F$61*1000</f>
        <v>4445000</v>
      </c>
      <c r="AQ20" s="668">
        <f>'[7]segmenty 3 m-ce PREZ'!$F$38*1000</f>
        <v>5210000</v>
      </c>
      <c r="AR20" s="668">
        <f>'[7]segmenty 3 m-ce PREZ'!$F$45*1000</f>
        <v>341000</v>
      </c>
      <c r="AS20" s="668">
        <f>'[7]segmenty 3 m-ce PREZ'!$F$41*1000</f>
        <v>340000</v>
      </c>
      <c r="AT20" s="668">
        <f t="shared" si="47"/>
        <v>4445000</v>
      </c>
      <c r="AV20" s="668">
        <f>([8]segmenty!$F$47)*1000</f>
        <v>6802000</v>
      </c>
      <c r="AW20" s="668">
        <f>([8]segmenty!$F$72)*1000</f>
        <v>273000</v>
      </c>
      <c r="AX20" s="668">
        <f>([8]segmenty!$F$69)*1000</f>
        <v>272000</v>
      </c>
      <c r="AY20" s="668">
        <f>([8]segmenty!$F$63)*1000</f>
        <v>4445000</v>
      </c>
      <c r="BA20" s="668">
        <f>([9]segmenty!$F$47)*1000</f>
        <v>35188000</v>
      </c>
      <c r="BB20" s="668">
        <f>([9]segmenty!$F$72)*1000</f>
        <v>454000</v>
      </c>
      <c r="BC20" s="668">
        <f>([9]segmenty!$F$69)*1000</f>
        <v>409000</v>
      </c>
      <c r="BD20" s="668">
        <f>([9]segmenty!$F$63)*1000</f>
        <v>7921000</v>
      </c>
      <c r="BF20" s="668">
        <f t="shared" si="58"/>
        <v>9124000</v>
      </c>
      <c r="BG20" s="668">
        <f t="shared" si="48"/>
        <v>17000</v>
      </c>
      <c r="BH20" s="668">
        <f t="shared" si="48"/>
        <v>14000</v>
      </c>
      <c r="BI20" s="668">
        <f t="shared" si="49"/>
        <v>7921000</v>
      </c>
      <c r="BK20" s="668">
        <f>([10]segmenty!$F$47)*1000-598000</f>
        <v>26064000</v>
      </c>
      <c r="BL20" s="668">
        <f>([10]segmenty!$F$72)*1000-15000</f>
        <v>437000</v>
      </c>
      <c r="BM20" s="668">
        <f>([10]segmenty!$F$69)*1000-15000</f>
        <v>395000</v>
      </c>
      <c r="BN20" s="668">
        <f>([10]segmenty!$F$63)*1000</f>
        <v>8581000</v>
      </c>
      <c r="BP20" s="668">
        <f>('[6]segmenty 3 m-ce PREZ'!$F$38)*1000</f>
        <v>8374000</v>
      </c>
      <c r="BQ20" s="668">
        <f>('[6]segmenty 3 m-ce PREZ'!$F$45)*1000</f>
        <v>49000</v>
      </c>
      <c r="BR20" s="668">
        <f>('[6]segmenty 3 m-ce PREZ'!$F$41)*1000</f>
        <v>45000</v>
      </c>
      <c r="BS20" s="668">
        <f t="shared" si="50"/>
        <v>8581000</v>
      </c>
      <c r="BU20" s="668">
        <f>20303000-571000</f>
        <v>19732000</v>
      </c>
      <c r="BV20" s="668">
        <f>544000+12000</f>
        <v>556000</v>
      </c>
      <c r="BW20" s="668">
        <f>515000+12000</f>
        <v>527000</v>
      </c>
      <c r="BX20" s="668">
        <v>8581000</v>
      </c>
      <c r="BZ20" s="668">
        <f>8670000+106000</f>
        <v>8776000</v>
      </c>
      <c r="CA20" s="668">
        <f>400000+103000</f>
        <v>503000</v>
      </c>
      <c r="CB20" s="668">
        <f>384000+103000</f>
        <v>487000</v>
      </c>
      <c r="CC20" s="668">
        <f t="shared" si="51"/>
        <v>8581000</v>
      </c>
      <c r="CE20" s="668">
        <f>[11]segmenty!$E$47*1000-599000-677000</f>
        <v>10956000</v>
      </c>
      <c r="CF20" s="668">
        <f>[11]segmenty!$E$72*1000-1000-91000</f>
        <v>53000</v>
      </c>
      <c r="CG20" s="668">
        <f>[11]segmenty!$E$69*1000-1000-91000</f>
        <v>40000</v>
      </c>
      <c r="CH20" s="668">
        <f>[11]segmenty!$E$63*1000</f>
        <v>8550000</v>
      </c>
      <c r="CJ20" s="668">
        <f>([12]segmenty!$E$48)*1000</f>
        <v>35491000</v>
      </c>
      <c r="CK20" s="668">
        <f>([12]segmenty!$E$73)*1000</f>
        <v>594000</v>
      </c>
      <c r="CL20" s="668">
        <f>([12]segmenty!$E$70)*1000</f>
        <v>550000</v>
      </c>
      <c r="CM20" s="668">
        <f>([12]segmenty!$E$64)*1000</f>
        <v>6701000</v>
      </c>
      <c r="CO20" s="668">
        <f t="shared" si="52"/>
        <v>9180000</v>
      </c>
      <c r="CP20" s="668">
        <f t="shared" si="52"/>
        <v>85000</v>
      </c>
      <c r="CQ20" s="668">
        <f t="shared" si="52"/>
        <v>74000</v>
      </c>
      <c r="CR20" s="668">
        <f t="shared" si="53"/>
        <v>6701000</v>
      </c>
      <c r="CT20" s="668">
        <f>([13]segmenty!$E$48)*1000</f>
        <v>26311000</v>
      </c>
      <c r="CU20" s="668">
        <f>([13]segmenty!$E$73)*1000</f>
        <v>509000</v>
      </c>
      <c r="CV20" s="668">
        <f>([13]segmenty!$E$70)*1000</f>
        <v>476000</v>
      </c>
      <c r="CW20" s="668">
        <f>([13]segmenty!$E$64)*1000</f>
        <v>6701000</v>
      </c>
      <c r="CY20" s="668">
        <f>('[13]segmenty 3 m-ce PREZ'!$E$39)*1000</f>
        <v>8058000</v>
      </c>
      <c r="CZ20" s="668">
        <f>('[13]segmenty 3 m-ce PREZ'!$E$46)*1000</f>
        <v>468000</v>
      </c>
      <c r="DA20" s="668">
        <f>('[13]segmenty 3 m-ce PREZ'!$E$42)*1000</f>
        <v>457000</v>
      </c>
      <c r="DB20" s="668">
        <f t="shared" si="54"/>
        <v>6701000</v>
      </c>
      <c r="DD20" s="668">
        <f>([14]segmenty!$E$48)*1000</f>
        <v>18257000</v>
      </c>
      <c r="DE20" s="668">
        <f>([14]segmenty!$E$72)*1000</f>
        <v>41000</v>
      </c>
      <c r="DF20" s="668">
        <f>([14]segmenty!$E$69)*1000</f>
        <v>19000</v>
      </c>
      <c r="DG20" s="668">
        <f>([14]segmenty!$E$63)*1000</f>
        <v>6701000</v>
      </c>
      <c r="DI20" s="668">
        <f>('[14]segmenty 3 m-ce'!$E$101)*1000</f>
        <v>7670000</v>
      </c>
      <c r="DJ20" s="668">
        <f>('[14]segmenty 3 m-ce'!$E$115)*1000</f>
        <v>144000</v>
      </c>
      <c r="DK20" s="668">
        <f>('[14]segmenty 3 m-ce'!$E$112)*1000</f>
        <v>132000</v>
      </c>
      <c r="DL20" s="668">
        <f t="shared" si="55"/>
        <v>6701000</v>
      </c>
      <c r="DN20" s="668">
        <f>[15]segmenty!$E$48*1000</f>
        <v>10587000</v>
      </c>
      <c r="DO20" s="668">
        <f>[15]segmenty!$E$71*1000</f>
        <v>-103000</v>
      </c>
      <c r="DP20" s="668">
        <f>[15]segmenty!$E$69*1000</f>
        <v>-113000</v>
      </c>
      <c r="DQ20" s="668">
        <f>[15]segmenty!$E$63*1000</f>
        <v>6701000</v>
      </c>
      <c r="DS20" s="668">
        <f t="shared" si="56"/>
        <v>7796000</v>
      </c>
      <c r="DT20" s="668">
        <f t="shared" si="56"/>
        <v>-502000</v>
      </c>
      <c r="DU20" s="668">
        <f t="shared" si="56"/>
        <v>-511000</v>
      </c>
      <c r="DV20" s="668">
        <f t="shared" si="57"/>
        <v>4508000</v>
      </c>
      <c r="DX20" s="668">
        <v>24134000</v>
      </c>
      <c r="DY20" s="668">
        <v>-524000</v>
      </c>
      <c r="DZ20" s="668">
        <v>-564000</v>
      </c>
      <c r="EA20" s="668">
        <v>4508000</v>
      </c>
      <c r="EC20" s="461">
        <v>5613000</v>
      </c>
      <c r="ED20" s="461">
        <v>-259000</v>
      </c>
      <c r="EE20" s="461">
        <v>-270000</v>
      </c>
      <c r="EF20" s="461">
        <f t="shared" si="28"/>
        <v>4508000</v>
      </c>
      <c r="EH20" s="461">
        <v>16338000</v>
      </c>
      <c r="EI20" s="461">
        <v>-22000</v>
      </c>
      <c r="EJ20" s="461">
        <v>-53000</v>
      </c>
      <c r="EK20" s="461">
        <v>4508000</v>
      </c>
      <c r="EM20" s="461">
        <f t="shared" si="29"/>
        <v>4645000</v>
      </c>
      <c r="EN20" s="461">
        <f t="shared" si="29"/>
        <v>3000</v>
      </c>
      <c r="EO20" s="461">
        <f t="shared" si="29"/>
        <v>-7000</v>
      </c>
      <c r="EP20" s="461">
        <v>4508000</v>
      </c>
      <c r="ER20" s="461">
        <v>10725000</v>
      </c>
      <c r="ES20" s="461">
        <v>237000</v>
      </c>
      <c r="ET20" s="461">
        <v>217000</v>
      </c>
      <c r="EU20" s="461">
        <v>4508000</v>
      </c>
      <c r="EW20" s="461">
        <v>6080000</v>
      </c>
      <c r="EX20" s="461">
        <v>234000</v>
      </c>
      <c r="EY20" s="461">
        <v>224000</v>
      </c>
      <c r="EZ20" s="461">
        <v>4508000</v>
      </c>
      <c r="FB20" s="461">
        <f t="shared" si="30"/>
        <v>5099406</v>
      </c>
      <c r="FC20" s="461">
        <f t="shared" si="30"/>
        <v>42457</v>
      </c>
      <c r="FD20" s="461">
        <f t="shared" si="30"/>
        <v>34599</v>
      </c>
      <c r="FE20" s="461">
        <f t="shared" si="31"/>
        <v>4614000</v>
      </c>
      <c r="FG20" s="461">
        <v>17250000</v>
      </c>
      <c r="FH20" s="461">
        <v>683000</v>
      </c>
      <c r="FI20" s="461">
        <v>642000</v>
      </c>
      <c r="FJ20" s="461">
        <v>4614000</v>
      </c>
      <c r="FL20" s="461">
        <f t="shared" si="32"/>
        <v>4136093</v>
      </c>
      <c r="FM20" s="461">
        <f t="shared" si="32"/>
        <v>237639</v>
      </c>
      <c r="FN20" s="461">
        <f t="shared" si="32"/>
        <v>228215</v>
      </c>
      <c r="FO20" s="461">
        <f t="shared" si="33"/>
        <v>4614093</v>
      </c>
      <c r="FQ20" s="461">
        <v>12150594</v>
      </c>
      <c r="FR20" s="461">
        <v>640543</v>
      </c>
      <c r="FS20" s="461">
        <v>607401</v>
      </c>
      <c r="FT20" s="461">
        <v>4614093</v>
      </c>
      <c r="FV20" s="461">
        <f t="shared" si="34"/>
        <v>3783659</v>
      </c>
      <c r="FW20" s="461">
        <f t="shared" si="34"/>
        <v>220472</v>
      </c>
      <c r="FX20" s="461">
        <f t="shared" si="34"/>
        <v>208415</v>
      </c>
      <c r="FY20" s="461">
        <f t="shared" si="35"/>
        <v>4614093</v>
      </c>
      <c r="GA20" s="461">
        <v>8014501</v>
      </c>
      <c r="GB20" s="461">
        <v>402904</v>
      </c>
      <c r="GC20" s="461">
        <v>379186</v>
      </c>
      <c r="GD20" s="461">
        <v>4614093</v>
      </c>
      <c r="GF20" s="461">
        <v>4230842</v>
      </c>
      <c r="GG20" s="461">
        <v>182432</v>
      </c>
      <c r="GH20" s="461">
        <v>170771</v>
      </c>
      <c r="GI20" s="461">
        <v>4614093</v>
      </c>
      <c r="GK20" s="461">
        <f t="shared" si="36"/>
        <v>4508216</v>
      </c>
      <c r="GL20" s="461">
        <f t="shared" si="36"/>
        <v>-105072</v>
      </c>
      <c r="GM20" s="461">
        <f t="shared" si="36"/>
        <v>-121577</v>
      </c>
      <c r="GN20" s="461">
        <f t="shared" si="37"/>
        <v>4730135</v>
      </c>
      <c r="GP20" s="461">
        <v>14907937</v>
      </c>
      <c r="GQ20" s="461">
        <v>428577</v>
      </c>
      <c r="GR20" s="461">
        <v>382185</v>
      </c>
      <c r="GS20" s="461">
        <v>4730135</v>
      </c>
      <c r="GU20" s="461">
        <v>3474928</v>
      </c>
      <c r="GV20" s="461">
        <v>110407</v>
      </c>
      <c r="GW20" s="461">
        <v>100132</v>
      </c>
      <c r="GX20" s="461">
        <f t="shared" si="38"/>
        <v>4730135</v>
      </c>
      <c r="GZ20" s="461">
        <v>10399721</v>
      </c>
      <c r="HA20" s="461">
        <v>533649</v>
      </c>
      <c r="HB20" s="461">
        <v>503762</v>
      </c>
      <c r="HC20" s="461">
        <v>4730135</v>
      </c>
      <c r="HE20" s="458">
        <f t="shared" si="39"/>
        <v>3013371</v>
      </c>
      <c r="HF20" s="459">
        <f t="shared" si="39"/>
        <v>258311</v>
      </c>
      <c r="HG20" s="458">
        <f t="shared" si="39"/>
        <v>248406</v>
      </c>
      <c r="HH20" s="458">
        <v>4730135</v>
      </c>
      <c r="HJ20" s="458">
        <v>6924793</v>
      </c>
      <c r="HK20" s="459">
        <v>423242</v>
      </c>
      <c r="HL20" s="458">
        <v>403630</v>
      </c>
      <c r="HM20" s="458">
        <v>4730135</v>
      </c>
      <c r="HO20" s="458">
        <v>3911422</v>
      </c>
      <c r="HP20" s="459">
        <v>164931</v>
      </c>
      <c r="HQ20" s="458">
        <v>155224</v>
      </c>
      <c r="HR20" s="458">
        <v>4730135</v>
      </c>
      <c r="HS20" s="5"/>
      <c r="HT20" s="143">
        <v>14219677</v>
      </c>
      <c r="HU20" s="344">
        <v>372471</v>
      </c>
      <c r="HV20" s="143">
        <v>332428</v>
      </c>
      <c r="HW20" s="143">
        <v>3801630</v>
      </c>
      <c r="HY20" s="143">
        <v>4289264</v>
      </c>
      <c r="HZ20" s="344">
        <v>-119249</v>
      </c>
      <c r="IA20" s="143">
        <v>-135387</v>
      </c>
      <c r="IB20" s="143">
        <v>3801630</v>
      </c>
      <c r="ID20" s="143">
        <v>9930413</v>
      </c>
      <c r="IE20" s="344">
        <v>491720</v>
      </c>
      <c r="IF20" s="143">
        <v>467815</v>
      </c>
      <c r="IG20" s="143">
        <v>3801630</v>
      </c>
      <c r="II20" s="143">
        <v>3448489</v>
      </c>
      <c r="IJ20" s="344">
        <v>137215</v>
      </c>
      <c r="IK20" s="143">
        <v>131621</v>
      </c>
      <c r="IL20" s="143">
        <v>3801630</v>
      </c>
      <c r="IO20" s="143">
        <v>6481924</v>
      </c>
      <c r="IP20" s="344">
        <v>354505</v>
      </c>
      <c r="IQ20" s="143">
        <v>336194</v>
      </c>
      <c r="IR20" s="143">
        <v>3801630</v>
      </c>
      <c r="IT20" s="143">
        <v>3097600</v>
      </c>
      <c r="IU20" s="344">
        <v>166457</v>
      </c>
      <c r="IV20" s="143">
        <v>157497</v>
      </c>
      <c r="IW20" s="143">
        <v>3801630</v>
      </c>
      <c r="IY20" s="143">
        <v>3384324</v>
      </c>
      <c r="IZ20" s="344">
        <v>188048</v>
      </c>
      <c r="JA20" s="143">
        <v>178697</v>
      </c>
      <c r="JB20" s="143">
        <v>3801630</v>
      </c>
      <c r="JD20" s="143">
        <v>13567887</v>
      </c>
      <c r="JE20" s="344">
        <v>841222</v>
      </c>
      <c r="JF20" s="143">
        <v>832216</v>
      </c>
      <c r="JG20" s="143">
        <v>3090248</v>
      </c>
      <c r="JI20" s="339">
        <v>3760678</v>
      </c>
      <c r="JJ20" s="340">
        <v>150244</v>
      </c>
      <c r="JK20" s="339">
        <v>148297</v>
      </c>
      <c r="JL20" s="339">
        <v>3090248</v>
      </c>
      <c r="JN20" s="143">
        <v>9807209</v>
      </c>
      <c r="JO20" s="344">
        <v>690978</v>
      </c>
      <c r="JP20" s="143">
        <v>683919</v>
      </c>
      <c r="JQ20" s="143">
        <v>3090248</v>
      </c>
      <c r="JS20" s="143">
        <v>3130213</v>
      </c>
      <c r="JT20" s="344">
        <v>145582</v>
      </c>
      <c r="JU20" s="143">
        <v>143502</v>
      </c>
      <c r="JV20" s="143">
        <v>3090248</v>
      </c>
      <c r="JX20" s="155">
        <v>6676996</v>
      </c>
      <c r="JY20" s="182">
        <v>545396</v>
      </c>
      <c r="JZ20" s="155">
        <v>540417</v>
      </c>
      <c r="KA20" s="155">
        <v>3090248</v>
      </c>
      <c r="KC20" s="155">
        <v>163143</v>
      </c>
      <c r="KD20" s="182">
        <v>165425</v>
      </c>
      <c r="KE20" s="155">
        <v>163143</v>
      </c>
      <c r="KF20" s="155">
        <v>3090248</v>
      </c>
      <c r="KH20" s="155">
        <v>3617437</v>
      </c>
      <c r="KI20" s="182">
        <v>379971</v>
      </c>
      <c r="KJ20" s="155">
        <v>377274</v>
      </c>
      <c r="KK20" s="155">
        <v>3090248</v>
      </c>
      <c r="KM20" s="155">
        <v>14016190</v>
      </c>
      <c r="KN20" s="155">
        <v>490005</v>
      </c>
      <c r="KO20" s="155">
        <v>479374</v>
      </c>
      <c r="KP20" s="155">
        <v>2659458</v>
      </c>
      <c r="KR20" s="155">
        <v>3861362</v>
      </c>
      <c r="KS20" s="182">
        <v>89872</v>
      </c>
      <c r="KT20" s="155">
        <v>87549</v>
      </c>
      <c r="KU20" s="155">
        <v>2659458</v>
      </c>
      <c r="KV20" s="156"/>
      <c r="KW20" s="155">
        <v>10154828</v>
      </c>
      <c r="KX20" s="155">
        <v>400133</v>
      </c>
      <c r="KY20" s="155">
        <v>391825</v>
      </c>
      <c r="KZ20" s="155">
        <v>2659458</v>
      </c>
      <c r="LA20" s="155"/>
      <c r="LB20" s="155">
        <v>3269473</v>
      </c>
      <c r="LC20" s="155">
        <v>110560</v>
      </c>
      <c r="LD20" s="155">
        <v>108166</v>
      </c>
      <c r="LE20" s="155">
        <v>2659458</v>
      </c>
      <c r="LF20" s="156"/>
      <c r="LG20" s="155">
        <v>6885355</v>
      </c>
      <c r="LH20" s="155">
        <v>289573</v>
      </c>
      <c r="LI20" s="155">
        <v>283659</v>
      </c>
      <c r="LJ20" s="155">
        <v>2659458</v>
      </c>
      <c r="LK20" s="156"/>
      <c r="LL20" s="155">
        <f t="shared" si="40"/>
        <v>3376697</v>
      </c>
      <c r="LM20" s="155">
        <f t="shared" si="40"/>
        <v>121613</v>
      </c>
      <c r="LN20" s="155">
        <f t="shared" si="40"/>
        <v>122240</v>
      </c>
      <c r="LO20" s="155">
        <f>LT20</f>
        <v>2659458</v>
      </c>
      <c r="LP20" s="156"/>
      <c r="LQ20" s="155">
        <v>3508658</v>
      </c>
      <c r="LR20" s="155">
        <v>167960</v>
      </c>
      <c r="LS20" s="155">
        <v>161419</v>
      </c>
      <c r="LT20" s="155">
        <v>2659458</v>
      </c>
      <c r="LU20" s="156"/>
      <c r="LV20" s="155">
        <v>15873355</v>
      </c>
      <c r="LW20" s="155">
        <v>380405</v>
      </c>
      <c r="LX20" s="155">
        <v>369529</v>
      </c>
      <c r="LY20" s="155">
        <v>2709132</v>
      </c>
      <c r="LZ20" s="156"/>
      <c r="MA20" s="155">
        <v>4060202</v>
      </c>
      <c r="MB20" s="155">
        <v>-71530</v>
      </c>
      <c r="MC20" s="155">
        <v>-74268</v>
      </c>
      <c r="MD20" s="155">
        <v>2709132</v>
      </c>
      <c r="ME20" s="156"/>
      <c r="MF20" s="155">
        <v>11813153</v>
      </c>
      <c r="MG20" s="155">
        <v>451935</v>
      </c>
      <c r="MH20" s="155">
        <v>443797</v>
      </c>
      <c r="MI20" s="155">
        <v>2706907</v>
      </c>
      <c r="MJ20" s="156"/>
      <c r="MK20" s="155">
        <v>3719173</v>
      </c>
      <c r="ML20" s="155">
        <v>116782</v>
      </c>
      <c r="MM20" s="155">
        <v>114042</v>
      </c>
      <c r="MN20" s="155">
        <v>2706907</v>
      </c>
      <c r="MO20" s="156"/>
      <c r="MP20" s="155">
        <v>8093980</v>
      </c>
      <c r="MQ20" s="155">
        <v>335153</v>
      </c>
      <c r="MR20" s="155">
        <v>329755</v>
      </c>
      <c r="MS20" s="155">
        <v>2706907</v>
      </c>
      <c r="MT20" s="156"/>
      <c r="MU20" s="155">
        <v>3915698</v>
      </c>
      <c r="MV20" s="155">
        <v>141382</v>
      </c>
      <c r="MW20" s="155">
        <v>138710</v>
      </c>
      <c r="MX20" s="155">
        <v>2706907</v>
      </c>
      <c r="MY20" s="156"/>
      <c r="MZ20" s="155">
        <v>4178282</v>
      </c>
      <c r="NA20" s="155">
        <v>193771</v>
      </c>
      <c r="NB20" s="155">
        <v>191045</v>
      </c>
      <c r="NC20" s="155">
        <v>2706907</v>
      </c>
      <c r="ND20" s="156"/>
      <c r="NE20" s="155">
        <v>15277451</v>
      </c>
      <c r="NF20" s="155">
        <v>608213</v>
      </c>
      <c r="NG20" s="155">
        <v>582307</v>
      </c>
      <c r="NH20" s="155">
        <v>3715551</v>
      </c>
      <c r="NI20" s="162"/>
      <c r="NJ20" s="155">
        <v>4010459</v>
      </c>
      <c r="NK20" s="155">
        <v>106749</v>
      </c>
      <c r="NL20" s="155">
        <v>103508</v>
      </c>
      <c r="NM20" s="155">
        <v>3715551</v>
      </c>
      <c r="NN20" s="162"/>
      <c r="NO20" s="155">
        <v>11266992</v>
      </c>
      <c r="NP20" s="155">
        <v>501464</v>
      </c>
      <c r="NQ20" s="155">
        <v>478799</v>
      </c>
      <c r="NR20" s="155">
        <v>3715551</v>
      </c>
      <c r="NS20" s="156"/>
      <c r="NT20" s="155">
        <v>3691883</v>
      </c>
      <c r="NU20" s="155">
        <v>109830</v>
      </c>
      <c r="NV20" s="155">
        <v>105291</v>
      </c>
      <c r="NW20" s="155">
        <v>3715551</v>
      </c>
      <c r="NX20" s="156"/>
      <c r="NY20" s="155">
        <v>7575109</v>
      </c>
      <c r="NZ20" s="155">
        <v>391634</v>
      </c>
      <c r="OA20" s="155">
        <v>373508</v>
      </c>
      <c r="OB20" s="155">
        <v>3715551</v>
      </c>
      <c r="OC20" s="156"/>
      <c r="OD20" s="155">
        <v>3479108</v>
      </c>
      <c r="OE20" s="155">
        <v>153290</v>
      </c>
      <c r="OF20" s="155">
        <v>144543</v>
      </c>
      <c r="OG20" s="155">
        <v>3715551</v>
      </c>
      <c r="OH20" s="156"/>
      <c r="OI20" s="155">
        <v>4096001</v>
      </c>
      <c r="OJ20" s="155">
        <v>238344</v>
      </c>
      <c r="OK20" s="155">
        <v>228965</v>
      </c>
      <c r="OL20" s="155">
        <v>3715551</v>
      </c>
      <c r="OM20" s="156"/>
      <c r="ON20" s="163" t="s">
        <v>79</v>
      </c>
      <c r="OO20" s="161">
        <v>1397506</v>
      </c>
      <c r="OP20" s="161">
        <v>165783</v>
      </c>
      <c r="OQ20" s="161">
        <v>65786</v>
      </c>
      <c r="OR20" s="161">
        <v>1465831</v>
      </c>
      <c r="OS20" s="156"/>
      <c r="OT20" s="161">
        <v>1092570</v>
      </c>
      <c r="OU20" s="161">
        <v>168014</v>
      </c>
      <c r="OV20" s="161">
        <v>88794</v>
      </c>
      <c r="OW20" s="161">
        <v>1465831</v>
      </c>
      <c r="OX20" s="156"/>
      <c r="OY20" s="161">
        <v>748322</v>
      </c>
      <c r="OZ20" s="161">
        <v>137404</v>
      </c>
      <c r="PA20" s="161">
        <v>84452</v>
      </c>
      <c r="PB20" s="161">
        <v>1465831</v>
      </c>
      <c r="PC20" s="156"/>
      <c r="PD20" s="156"/>
      <c r="PE20" s="156"/>
      <c r="PF20" s="156"/>
      <c r="PG20" s="156"/>
      <c r="PH20" s="156"/>
      <c r="PI20" s="156"/>
      <c r="PJ20" s="156"/>
      <c r="PK20" s="156"/>
      <c r="PL20" s="156"/>
      <c r="PM20" s="156"/>
      <c r="PN20" s="156"/>
      <c r="PO20" s="156"/>
      <c r="PP20" s="156"/>
      <c r="PQ20" s="156"/>
      <c r="PR20" s="156"/>
      <c r="PS20" s="156"/>
      <c r="PT20" s="156"/>
      <c r="PU20" s="156"/>
      <c r="PV20" s="156"/>
      <c r="PW20" s="156"/>
      <c r="PX20" s="156"/>
      <c r="PY20" s="156"/>
      <c r="PZ20" s="156"/>
      <c r="QA20" s="156"/>
      <c r="QB20" s="156"/>
      <c r="QC20" s="156"/>
      <c r="QD20" s="156"/>
      <c r="QE20" s="156"/>
      <c r="QF20" s="156"/>
      <c r="QG20" s="156"/>
      <c r="QH20" s="156"/>
      <c r="QI20" s="156"/>
      <c r="QJ20" s="156"/>
      <c r="QK20" s="156"/>
      <c r="QL20" s="156"/>
      <c r="QM20" s="156"/>
      <c r="QN20" s="156"/>
      <c r="QO20" s="156"/>
      <c r="QP20" s="156"/>
      <c r="QQ20" s="156"/>
      <c r="QR20" s="156"/>
      <c r="QS20" s="156"/>
      <c r="QT20" s="156"/>
    </row>
    <row r="21" spans="1:462">
      <c r="A21" s="58" t="s">
        <v>78</v>
      </c>
      <c r="C21" s="757">
        <f>'[3]segmenty prez'!$G$48*1000</f>
        <v>739000</v>
      </c>
      <c r="D21" s="757">
        <f>'[3]segmenty prez'!$G$58*1000</f>
        <v>223000</v>
      </c>
      <c r="E21" s="757">
        <f>'[3]segmenty prez'!$G$54*1000</f>
        <v>94000</v>
      </c>
      <c r="F21" s="757">
        <f>'[3]segmenty prez'!$G$67*1000</f>
        <v>1929000</v>
      </c>
      <c r="H21" s="757">
        <f>'[3]segmenty 3 m-ce PREZ'!$G$41*1000</f>
        <v>370000</v>
      </c>
      <c r="I21" s="757">
        <f>'[3]segmenty 3 m-ce PREZ'!$G$51*1000</f>
        <v>121000</v>
      </c>
      <c r="J21" s="757">
        <f>'[3]segmenty 3 m-ce PREZ'!$G$47*1000</f>
        <v>56000</v>
      </c>
      <c r="K21" s="757">
        <f t="shared" si="41"/>
        <v>1929000</v>
      </c>
      <c r="M21" s="668">
        <f>('[4]segmenty prez'!$G$48)*1000</f>
        <v>369000</v>
      </c>
      <c r="N21" s="668">
        <f>('[4]segmenty prez'!$G$58)*1000</f>
        <v>102000</v>
      </c>
      <c r="O21" s="668">
        <f>('[4]segmenty prez'!$G$54)*1000</f>
        <v>38000</v>
      </c>
      <c r="P21" s="668">
        <f>('[4]segmenty prez'!$G$67)*1000</f>
        <v>1929000</v>
      </c>
      <c r="R21" s="668">
        <f>([5]segmenty!$G$49)*1000</f>
        <v>1450000</v>
      </c>
      <c r="S21" s="668">
        <f>([5]segmenty!$G$76)*1000</f>
        <v>412000</v>
      </c>
      <c r="T21" s="668">
        <f>([5]segmenty!$G$73)*1000</f>
        <v>128000</v>
      </c>
      <c r="U21" s="668">
        <f>([5]segmenty!$G$67)*1000</f>
        <v>1885000</v>
      </c>
      <c r="W21" s="671">
        <f t="shared" si="42"/>
        <v>354000</v>
      </c>
      <c r="X21" s="671">
        <f t="shared" si="43"/>
        <v>55000</v>
      </c>
      <c r="Y21" s="671">
        <f t="shared" si="44"/>
        <v>-26000</v>
      </c>
      <c r="Z21" s="671">
        <f t="shared" si="45"/>
        <v>1885000</v>
      </c>
      <c r="AB21" s="668">
        <f>'[6]segmenty prez'!$G$45*1000</f>
        <v>1096000</v>
      </c>
      <c r="AC21" s="668">
        <f>'[6]segmenty prez'!$G$52*1000</f>
        <v>357000</v>
      </c>
      <c r="AD21" s="668">
        <f>'[6]segmenty prez'!$G$48*1000</f>
        <v>154000</v>
      </c>
      <c r="AE21" s="668">
        <f>'[6]segmenty prez'!$G$61*1000</f>
        <v>1897000</v>
      </c>
      <c r="AG21" s="671">
        <f>([6]segmenty!$G$47)*1000</f>
        <v>1096000</v>
      </c>
      <c r="AH21" s="671">
        <f>([6]segmenty!$G$72)*1000</f>
        <v>357000</v>
      </c>
      <c r="AI21" s="671">
        <f>([6]segmenty!$G$69)*1000</f>
        <v>154000</v>
      </c>
      <c r="AJ21" s="671">
        <f t="shared" si="46"/>
        <v>1897000</v>
      </c>
      <c r="AL21" s="668">
        <f>'[7]segmenty prez'!$G$45*1000</f>
        <v>738000</v>
      </c>
      <c r="AM21" s="668">
        <f>'[7]segmenty prez'!$G$52*1000</f>
        <v>241000</v>
      </c>
      <c r="AN21" s="668">
        <f>'[7]segmenty prez'!$G$48*1000</f>
        <v>106000</v>
      </c>
      <c r="AO21" s="668">
        <f>'[7]segmenty prez'!$G$61*1000</f>
        <v>1897000</v>
      </c>
      <c r="AQ21" s="668">
        <f>'[7]segmenty 3 m-ce PREZ'!$G$38*1000</f>
        <v>366000</v>
      </c>
      <c r="AR21" s="668">
        <f>'[7]segmenty 3 m-ce PREZ'!$G$45*1000</f>
        <v>128000</v>
      </c>
      <c r="AS21" s="668">
        <f>'[7]segmenty 3 m-ce PREZ'!$G$41*1000</f>
        <v>63000</v>
      </c>
      <c r="AT21" s="668">
        <f t="shared" si="47"/>
        <v>1897000</v>
      </c>
      <c r="AV21" s="668">
        <f>([8]segmenty!$G$47)*1000</f>
        <v>372000</v>
      </c>
      <c r="AW21" s="668">
        <f>([8]segmenty!$G$72)*1000</f>
        <v>113000</v>
      </c>
      <c r="AX21" s="668">
        <f>([8]segmenty!$G$69)*1000</f>
        <v>43000</v>
      </c>
      <c r="AY21" s="668">
        <f>([8]segmenty!$G$63)*1000</f>
        <v>1897000</v>
      </c>
      <c r="BA21" s="668">
        <f>([9]segmenty!$G$47)*1000</f>
        <v>1118000</v>
      </c>
      <c r="BB21" s="668">
        <f>([9]segmenty!$G$72)*1000</f>
        <v>257000</v>
      </c>
      <c r="BC21" s="668">
        <f>([9]segmenty!$G$69)*1000</f>
        <v>82000</v>
      </c>
      <c r="BD21" s="668">
        <f>([9]segmenty!$G$63)*1000</f>
        <v>1291000</v>
      </c>
      <c r="BF21" s="668">
        <f t="shared" si="58"/>
        <v>334000</v>
      </c>
      <c r="BG21" s="668">
        <f t="shared" si="48"/>
        <v>97000</v>
      </c>
      <c r="BH21" s="668">
        <f t="shared" si="48"/>
        <v>50000</v>
      </c>
      <c r="BI21" s="668">
        <f t="shared" si="49"/>
        <v>1291000</v>
      </c>
      <c r="BK21" s="668">
        <f>([10]segmenty!$G$47)*1000</f>
        <v>784000</v>
      </c>
      <c r="BL21" s="668">
        <f>([10]segmenty!$G$72)*1000</f>
        <v>160000</v>
      </c>
      <c r="BM21" s="668">
        <f>([10]segmenty!$G$69)*1000</f>
        <v>32000</v>
      </c>
      <c r="BN21" s="668">
        <f>([10]segmenty!$G$63)*1000</f>
        <v>1291000</v>
      </c>
      <c r="BP21" s="668">
        <f>('[6]segmenty 3 m-ce PREZ'!$G$38)*1000</f>
        <v>358000</v>
      </c>
      <c r="BQ21" s="668">
        <f>('[6]segmenty 3 m-ce PREZ'!$G$45)*1000</f>
        <v>116000</v>
      </c>
      <c r="BR21" s="668">
        <f>('[6]segmenty 3 m-ce PREZ'!$G$41)*1000</f>
        <v>48000</v>
      </c>
      <c r="BS21" s="668">
        <f t="shared" si="50"/>
        <v>1291000</v>
      </c>
      <c r="BU21" s="668">
        <v>517000</v>
      </c>
      <c r="BV21" s="668">
        <v>114000</v>
      </c>
      <c r="BW21" s="668">
        <v>31000</v>
      </c>
      <c r="BX21" s="668">
        <v>1291000</v>
      </c>
      <c r="BZ21" s="668">
        <v>258000</v>
      </c>
      <c r="CA21" s="668">
        <v>48000</v>
      </c>
      <c r="CB21" s="668">
        <v>7000</v>
      </c>
      <c r="CC21" s="668">
        <f t="shared" si="51"/>
        <v>1291000</v>
      </c>
      <c r="CE21" s="668">
        <f>[11]segmenty!$F$47*1000-127000</f>
        <v>259000</v>
      </c>
      <c r="CF21" s="668">
        <f>[11]segmenty!$F$72*1000-4000</f>
        <v>66000</v>
      </c>
      <c r="CG21" s="668">
        <f>[11]segmenty!$F$69*1000-3000</f>
        <v>24000</v>
      </c>
      <c r="CH21" s="668">
        <f>[11]segmenty!$F$63*1000</f>
        <v>1317000</v>
      </c>
      <c r="CJ21" s="668">
        <f>([12]segmenty!$F$48)*1000</f>
        <v>1428000</v>
      </c>
      <c r="CK21" s="668">
        <f>([12]segmenty!$F$73)*1000</f>
        <v>298000</v>
      </c>
      <c r="CL21" s="668">
        <f>([12]segmenty!$F$70)*1000</f>
        <v>163000</v>
      </c>
      <c r="CM21" s="668">
        <f>([12]segmenty!$F$64)*1000</f>
        <v>1156000</v>
      </c>
      <c r="CO21" s="668">
        <f t="shared" si="52"/>
        <v>373000</v>
      </c>
      <c r="CP21" s="668">
        <f t="shared" si="52"/>
        <v>129000</v>
      </c>
      <c r="CQ21" s="668">
        <f t="shared" si="52"/>
        <v>92000</v>
      </c>
      <c r="CR21" s="668">
        <f t="shared" si="53"/>
        <v>1156000</v>
      </c>
      <c r="CT21" s="668">
        <f>([13]segmenty!$F$48)*1000</f>
        <v>1055000</v>
      </c>
      <c r="CU21" s="668">
        <f>([13]segmenty!$F$73)*1000</f>
        <v>169000</v>
      </c>
      <c r="CV21" s="668">
        <f>([13]segmenty!$F$70)*1000</f>
        <v>71000</v>
      </c>
      <c r="CW21" s="668">
        <f>([13]segmenty!$F$64)*1000</f>
        <v>1156000</v>
      </c>
      <c r="CY21" s="668">
        <f>('[13]segmenty 3 m-ce PREZ'!$F$39)*1000</f>
        <v>351000</v>
      </c>
      <c r="CZ21" s="668">
        <f>('[13]segmenty 3 m-ce PREZ'!$F$46)*1000</f>
        <v>44000</v>
      </c>
      <c r="DA21" s="668">
        <f>('[13]segmenty 3 m-ce PREZ'!$F$42)*1000</f>
        <v>12000</v>
      </c>
      <c r="DB21" s="668">
        <f t="shared" si="54"/>
        <v>1156000</v>
      </c>
      <c r="DD21" s="668">
        <f>([14]segmenty!$F$48)*1000</f>
        <v>704000</v>
      </c>
      <c r="DE21" s="668">
        <f>([14]segmenty!$F$72)*1000</f>
        <v>125000</v>
      </c>
      <c r="DF21" s="668">
        <f>([14]segmenty!$F$69)*1000</f>
        <v>59000</v>
      </c>
      <c r="DG21" s="668">
        <f>([14]segmenty!$F$63)*1000</f>
        <v>1156000</v>
      </c>
      <c r="DI21" s="668">
        <f>('[14]segmenty 3 m-ce'!$F$101)*1000</f>
        <v>345000</v>
      </c>
      <c r="DJ21" s="668">
        <f>('[14]segmenty 3 m-ce'!$F$115)*1000</f>
        <v>65000</v>
      </c>
      <c r="DK21" s="668">
        <f>('[14]segmenty 3 m-ce'!$F$112)*1000</f>
        <v>30000</v>
      </c>
      <c r="DL21" s="668">
        <f t="shared" si="55"/>
        <v>1156000</v>
      </c>
      <c r="DN21" s="668">
        <f>[15]segmenty!$F$48*1000</f>
        <v>359000</v>
      </c>
      <c r="DO21" s="668">
        <f>[15]segmenty!$F$71*1000</f>
        <v>60000</v>
      </c>
      <c r="DP21" s="668">
        <f>[15]segmenty!$F$69*1000</f>
        <v>29000</v>
      </c>
      <c r="DQ21" s="668">
        <f>[15]segmenty!$F$63*1000</f>
        <v>1156000</v>
      </c>
      <c r="DS21" s="668">
        <f t="shared" si="56"/>
        <v>337000</v>
      </c>
      <c r="DT21" s="668">
        <f t="shared" si="56"/>
        <v>58000</v>
      </c>
      <c r="DU21" s="668">
        <f t="shared" si="56"/>
        <v>24000</v>
      </c>
      <c r="DV21" s="668">
        <f t="shared" si="57"/>
        <v>891000</v>
      </c>
      <c r="DX21" s="668">
        <v>1177000</v>
      </c>
      <c r="DY21" s="668">
        <v>208000</v>
      </c>
      <c r="DZ21" s="668">
        <v>92000</v>
      </c>
      <c r="EA21" s="668">
        <v>891000</v>
      </c>
      <c r="EC21" s="461">
        <v>281000</v>
      </c>
      <c r="ED21" s="461">
        <v>43000</v>
      </c>
      <c r="EE21" s="461">
        <v>16000</v>
      </c>
      <c r="EF21" s="461">
        <f t="shared" si="28"/>
        <v>891000</v>
      </c>
      <c r="EH21" s="461">
        <v>840000</v>
      </c>
      <c r="EI21" s="461">
        <v>150000</v>
      </c>
      <c r="EJ21" s="461">
        <v>68000</v>
      </c>
      <c r="EK21" s="461">
        <v>891000</v>
      </c>
      <c r="EM21" s="461">
        <f t="shared" si="29"/>
        <v>272000</v>
      </c>
      <c r="EN21" s="461">
        <f t="shared" si="29"/>
        <v>57000</v>
      </c>
      <c r="EO21" s="461">
        <f t="shared" si="29"/>
        <v>28000</v>
      </c>
      <c r="EP21" s="461">
        <v>891000</v>
      </c>
      <c r="ER21" s="461">
        <v>559000</v>
      </c>
      <c r="ES21" s="461">
        <v>107000</v>
      </c>
      <c r="ET21" s="461">
        <v>52000</v>
      </c>
      <c r="EU21" s="461">
        <v>891000</v>
      </c>
      <c r="EW21" s="461">
        <v>287000</v>
      </c>
      <c r="EX21" s="461">
        <v>50000</v>
      </c>
      <c r="EY21" s="461">
        <v>24000</v>
      </c>
      <c r="EZ21" s="461">
        <v>891000</v>
      </c>
      <c r="FB21" s="461">
        <f t="shared" si="30"/>
        <v>291958</v>
      </c>
      <c r="FC21" s="461">
        <f t="shared" si="30"/>
        <v>17556</v>
      </c>
      <c r="FD21" s="461">
        <f t="shared" si="30"/>
        <v>-6636</v>
      </c>
      <c r="FE21" s="461">
        <f t="shared" si="31"/>
        <v>776000</v>
      </c>
      <c r="FG21" s="461">
        <v>1114000</v>
      </c>
      <c r="FH21" s="461">
        <v>229000</v>
      </c>
      <c r="FI21" s="461">
        <v>136000</v>
      </c>
      <c r="FJ21" s="461">
        <v>776000</v>
      </c>
      <c r="FL21" s="461">
        <f t="shared" si="32"/>
        <v>286091</v>
      </c>
      <c r="FM21" s="461">
        <f t="shared" si="32"/>
        <v>49068</v>
      </c>
      <c r="FN21" s="461">
        <f t="shared" si="32"/>
        <v>24446</v>
      </c>
      <c r="FO21" s="461">
        <f t="shared" si="33"/>
        <v>775856</v>
      </c>
      <c r="FQ21" s="461">
        <v>822042</v>
      </c>
      <c r="FR21" s="461">
        <v>211444</v>
      </c>
      <c r="FS21" s="461">
        <v>142636</v>
      </c>
      <c r="FT21" s="461">
        <v>775856</v>
      </c>
      <c r="FV21" s="461">
        <f t="shared" si="34"/>
        <v>273482</v>
      </c>
      <c r="FW21" s="461">
        <f t="shared" si="34"/>
        <v>123596</v>
      </c>
      <c r="FX21" s="461">
        <f t="shared" si="34"/>
        <v>100460</v>
      </c>
      <c r="FY21" s="461">
        <f t="shared" si="35"/>
        <v>775856</v>
      </c>
      <c r="GA21" s="461">
        <v>535951</v>
      </c>
      <c r="GB21" s="461">
        <v>162376</v>
      </c>
      <c r="GC21" s="461">
        <v>118190</v>
      </c>
      <c r="GD21" s="461">
        <v>775856</v>
      </c>
      <c r="GF21" s="461">
        <v>262469</v>
      </c>
      <c r="GG21" s="461">
        <v>38780</v>
      </c>
      <c r="GH21" s="461">
        <v>17730</v>
      </c>
      <c r="GI21" s="461">
        <v>775856</v>
      </c>
      <c r="GK21" s="461">
        <f t="shared" si="36"/>
        <v>247939</v>
      </c>
      <c r="GL21" s="461">
        <f t="shared" si="36"/>
        <v>8695</v>
      </c>
      <c r="GM21" s="461">
        <f t="shared" si="36"/>
        <v>-13448</v>
      </c>
      <c r="GN21" s="461">
        <f t="shared" si="37"/>
        <v>648705</v>
      </c>
      <c r="GP21" s="461">
        <v>979911</v>
      </c>
      <c r="GQ21" s="461">
        <v>136186</v>
      </c>
      <c r="GR21" s="461">
        <v>46152</v>
      </c>
      <c r="GS21" s="461">
        <v>648705</v>
      </c>
      <c r="GU21" s="461">
        <v>249043</v>
      </c>
      <c r="GV21" s="461">
        <v>43029</v>
      </c>
      <c r="GW21" s="461">
        <v>20235</v>
      </c>
      <c r="GX21" s="461">
        <f t="shared" si="38"/>
        <v>648705</v>
      </c>
      <c r="GZ21" s="461">
        <v>731972</v>
      </c>
      <c r="HA21" s="461">
        <v>127491</v>
      </c>
      <c r="HB21" s="461">
        <v>59600</v>
      </c>
      <c r="HC21" s="461">
        <v>648705</v>
      </c>
      <c r="HE21" s="458">
        <f t="shared" si="39"/>
        <v>234413</v>
      </c>
      <c r="HF21" s="459">
        <f t="shared" si="39"/>
        <v>40018</v>
      </c>
      <c r="HG21" s="458">
        <f t="shared" si="39"/>
        <v>17339</v>
      </c>
      <c r="HH21" s="458">
        <v>648705</v>
      </c>
      <c r="HJ21" s="458">
        <v>482929</v>
      </c>
      <c r="HK21" s="459">
        <v>84462</v>
      </c>
      <c r="HL21" s="458">
        <v>39365</v>
      </c>
      <c r="HM21" s="458">
        <v>648705</v>
      </c>
      <c r="HO21" s="458">
        <v>248516</v>
      </c>
      <c r="HP21" s="459">
        <v>44444</v>
      </c>
      <c r="HQ21" s="458">
        <v>22026</v>
      </c>
      <c r="HR21" s="458">
        <v>648705</v>
      </c>
      <c r="HS21" s="5"/>
      <c r="HT21" s="143">
        <v>857462</v>
      </c>
      <c r="HU21" s="344">
        <v>135032</v>
      </c>
      <c r="HV21" s="143">
        <v>46023</v>
      </c>
      <c r="HW21" s="143">
        <v>581497</v>
      </c>
      <c r="HY21" s="143">
        <v>240979</v>
      </c>
      <c r="HZ21" s="344">
        <v>4784</v>
      </c>
      <c r="IA21" s="143">
        <v>-16871</v>
      </c>
      <c r="IB21" s="143">
        <v>581497</v>
      </c>
      <c r="ID21" s="143">
        <v>616483</v>
      </c>
      <c r="IE21" s="344">
        <v>130248</v>
      </c>
      <c r="IF21" s="143">
        <v>62894</v>
      </c>
      <c r="IG21" s="143">
        <v>581497</v>
      </c>
      <c r="II21" s="143">
        <v>201877</v>
      </c>
      <c r="IJ21" s="344">
        <v>41536</v>
      </c>
      <c r="IK21" s="143">
        <v>18622</v>
      </c>
      <c r="IL21" s="143">
        <v>581497</v>
      </c>
      <c r="IO21" s="143">
        <v>414606</v>
      </c>
      <c r="IP21" s="344">
        <v>88712</v>
      </c>
      <c r="IQ21" s="143">
        <v>44272</v>
      </c>
      <c r="IR21" s="143">
        <v>581497</v>
      </c>
      <c r="IT21" s="143">
        <v>219053</v>
      </c>
      <c r="IU21" s="344">
        <v>49009</v>
      </c>
      <c r="IV21" s="143">
        <v>25412</v>
      </c>
      <c r="IW21" s="143">
        <v>581497</v>
      </c>
      <c r="IY21" s="143">
        <v>195553</v>
      </c>
      <c r="IZ21" s="344">
        <v>39703</v>
      </c>
      <c r="JA21" s="143">
        <v>18860</v>
      </c>
      <c r="JB21" s="143">
        <v>581497</v>
      </c>
      <c r="JD21" s="143">
        <v>804560</v>
      </c>
      <c r="JE21" s="344">
        <v>118043</v>
      </c>
      <c r="JF21" s="143">
        <v>35902</v>
      </c>
      <c r="JG21" s="143">
        <v>508825</v>
      </c>
      <c r="JI21" s="339">
        <v>206198</v>
      </c>
      <c r="JJ21" s="340">
        <v>3431</v>
      </c>
      <c r="JK21" s="339">
        <v>-19915</v>
      </c>
      <c r="JL21" s="339">
        <v>508825</v>
      </c>
      <c r="JN21" s="143">
        <v>598362</v>
      </c>
      <c r="JO21" s="344">
        <v>114612</v>
      </c>
      <c r="JP21" s="143">
        <v>55817</v>
      </c>
      <c r="JQ21" s="143">
        <v>508825</v>
      </c>
      <c r="JS21" s="143">
        <v>205774</v>
      </c>
      <c r="JT21" s="344">
        <v>37977</v>
      </c>
      <c r="JU21" s="143">
        <v>17870</v>
      </c>
      <c r="JV21" s="143">
        <v>508825</v>
      </c>
      <c r="JX21" s="155">
        <v>392588</v>
      </c>
      <c r="JY21" s="182">
        <v>76635</v>
      </c>
      <c r="JZ21" s="155">
        <v>37947</v>
      </c>
      <c r="KA21" s="155">
        <v>508825</v>
      </c>
      <c r="KC21" s="155">
        <v>21212</v>
      </c>
      <c r="KD21" s="182">
        <v>40909</v>
      </c>
      <c r="KE21" s="155">
        <v>21212</v>
      </c>
      <c r="KF21" s="155">
        <v>508825</v>
      </c>
      <c r="KH21" s="155">
        <v>194781</v>
      </c>
      <c r="KI21" s="182">
        <v>35726</v>
      </c>
      <c r="KJ21" s="155">
        <v>16735</v>
      </c>
      <c r="KK21" s="155">
        <v>508825</v>
      </c>
      <c r="KM21" s="155">
        <v>827928</v>
      </c>
      <c r="KN21" s="155">
        <v>114570</v>
      </c>
      <c r="KO21" s="155">
        <v>42642</v>
      </c>
      <c r="KP21" s="155">
        <v>468202</v>
      </c>
      <c r="KR21" s="155">
        <v>211032</v>
      </c>
      <c r="KS21" s="182">
        <v>12302</v>
      </c>
      <c r="KT21" s="155">
        <v>-5504</v>
      </c>
      <c r="KU21" s="155">
        <v>468202</v>
      </c>
      <c r="KV21" s="156"/>
      <c r="KW21" s="155">
        <v>616896</v>
      </c>
      <c r="KX21" s="155">
        <v>102268</v>
      </c>
      <c r="KY21" s="155">
        <v>48146</v>
      </c>
      <c r="KZ21" s="155">
        <v>468202</v>
      </c>
      <c r="LA21" s="155"/>
      <c r="LB21" s="155">
        <v>188053</v>
      </c>
      <c r="LC21" s="155">
        <v>36232</v>
      </c>
      <c r="LD21" s="155">
        <v>18324</v>
      </c>
      <c r="LE21" s="155">
        <v>468202</v>
      </c>
      <c r="LF21" s="156"/>
      <c r="LG21" s="155">
        <v>428843</v>
      </c>
      <c r="LH21" s="155">
        <v>66036</v>
      </c>
      <c r="LI21" s="155">
        <v>29822</v>
      </c>
      <c r="LJ21" s="155">
        <v>468202</v>
      </c>
      <c r="LK21" s="156"/>
      <c r="LL21" s="155">
        <f t="shared" si="40"/>
        <v>211401</v>
      </c>
      <c r="LM21" s="155">
        <f t="shared" si="40"/>
        <v>35550</v>
      </c>
      <c r="LN21" s="155">
        <f t="shared" si="40"/>
        <v>17383</v>
      </c>
      <c r="LO21" s="155">
        <f>LT21</f>
        <v>468202</v>
      </c>
      <c r="LP21" s="156"/>
      <c r="LQ21" s="155">
        <v>217442</v>
      </c>
      <c r="LR21" s="155">
        <v>30486</v>
      </c>
      <c r="LS21" s="155">
        <v>12439</v>
      </c>
      <c r="LT21" s="155">
        <v>468202</v>
      </c>
      <c r="LU21" s="156"/>
      <c r="LV21" s="155">
        <v>927953</v>
      </c>
      <c r="LW21" s="155">
        <v>100320</v>
      </c>
      <c r="LX21" s="155">
        <v>32596</v>
      </c>
      <c r="LY21" s="155">
        <v>478618</v>
      </c>
      <c r="LZ21" s="156"/>
      <c r="MA21" s="155">
        <v>225159</v>
      </c>
      <c r="MB21" s="155">
        <v>2137</v>
      </c>
      <c r="MC21" s="155">
        <v>-15376</v>
      </c>
      <c r="MD21" s="155">
        <v>478618</v>
      </c>
      <c r="ME21" s="156"/>
      <c r="MF21" s="155">
        <v>702794</v>
      </c>
      <c r="MG21" s="155">
        <v>98183</v>
      </c>
      <c r="MH21" s="155">
        <v>47972</v>
      </c>
      <c r="MI21" s="155">
        <v>478618</v>
      </c>
      <c r="MJ21" s="156"/>
      <c r="MK21" s="155">
        <v>199648</v>
      </c>
      <c r="ML21" s="155">
        <v>37188</v>
      </c>
      <c r="MM21" s="155">
        <v>20076</v>
      </c>
      <c r="MN21" s="155">
        <v>478618</v>
      </c>
      <c r="MO21" s="156"/>
      <c r="MP21" s="155">
        <v>503146</v>
      </c>
      <c r="MQ21" s="155">
        <v>60995</v>
      </c>
      <c r="MR21" s="155">
        <v>27896</v>
      </c>
      <c r="MS21" s="155">
        <v>478618</v>
      </c>
      <c r="MT21" s="156"/>
      <c r="MU21" s="155">
        <v>239006</v>
      </c>
      <c r="MV21" s="155">
        <v>17622</v>
      </c>
      <c r="MW21" s="155">
        <v>789</v>
      </c>
      <c r="MX21" s="155">
        <v>478618</v>
      </c>
      <c r="MY21" s="156"/>
      <c r="MZ21" s="155">
        <v>264140</v>
      </c>
      <c r="NA21" s="155">
        <v>43373</v>
      </c>
      <c r="NB21" s="155">
        <v>27107</v>
      </c>
      <c r="NC21" s="155">
        <v>478618</v>
      </c>
      <c r="ND21" s="156"/>
      <c r="NE21" s="155">
        <v>870035</v>
      </c>
      <c r="NF21" s="155">
        <v>106215</v>
      </c>
      <c r="NG21" s="155">
        <v>56593</v>
      </c>
      <c r="NH21" s="155">
        <v>459596</v>
      </c>
      <c r="NI21" s="162"/>
      <c r="NJ21" s="155">
        <v>210812.29391999985</v>
      </c>
      <c r="NK21" s="155">
        <v>-3324</v>
      </c>
      <c r="NL21" s="155">
        <v>-17508</v>
      </c>
      <c r="NM21" s="155">
        <v>459596</v>
      </c>
      <c r="NN21" s="162"/>
      <c r="NO21" s="155">
        <v>659222.70608000015</v>
      </c>
      <c r="NP21" s="155">
        <v>109539</v>
      </c>
      <c r="NQ21" s="155">
        <v>74101</v>
      </c>
      <c r="NR21" s="155">
        <v>459596</v>
      </c>
      <c r="NS21" s="156"/>
      <c r="NT21" s="155">
        <v>233888.70608000015</v>
      </c>
      <c r="NU21" s="155">
        <v>42296</v>
      </c>
      <c r="NV21" s="155">
        <v>28734</v>
      </c>
      <c r="NW21" s="155">
        <v>459596</v>
      </c>
      <c r="NX21" s="156"/>
      <c r="NY21" s="155">
        <v>425334.29366000002</v>
      </c>
      <c r="NZ21" s="155">
        <v>67238</v>
      </c>
      <c r="OA21" s="155">
        <v>45367</v>
      </c>
      <c r="OB21" s="155">
        <v>459596</v>
      </c>
      <c r="OC21" s="156"/>
      <c r="OD21" s="155">
        <v>195771.29366000002</v>
      </c>
      <c r="OE21" s="155">
        <v>22700</v>
      </c>
      <c r="OF21" s="155">
        <v>11051</v>
      </c>
      <c r="OG21" s="155">
        <v>459596</v>
      </c>
      <c r="OH21" s="156"/>
      <c r="OI21" s="155">
        <v>229563</v>
      </c>
      <c r="OJ21" s="155">
        <v>44538</v>
      </c>
      <c r="OK21" s="155">
        <v>34316</v>
      </c>
      <c r="OL21" s="155">
        <v>459596</v>
      </c>
      <c r="OM21" s="156"/>
      <c r="ON21" s="162" t="s">
        <v>80</v>
      </c>
      <c r="OO21" s="155">
        <v>4574265</v>
      </c>
      <c r="OP21" s="155">
        <v>28852</v>
      </c>
      <c r="OQ21" s="155">
        <v>-458954</v>
      </c>
      <c r="OR21" s="155">
        <v>8646833</v>
      </c>
      <c r="OS21" s="156"/>
      <c r="OT21" s="155">
        <v>3339570</v>
      </c>
      <c r="OU21" s="155">
        <v>117195</v>
      </c>
      <c r="OV21" s="155">
        <v>-254167</v>
      </c>
      <c r="OW21" s="155">
        <v>8646833</v>
      </c>
      <c r="OX21" s="156"/>
      <c r="OY21" s="155">
        <v>2270136</v>
      </c>
      <c r="OZ21" s="155">
        <v>28139</v>
      </c>
      <c r="PA21" s="155">
        <v>-230592</v>
      </c>
      <c r="PB21" s="155">
        <v>8646833</v>
      </c>
      <c r="PC21" s="156"/>
      <c r="PD21" s="156"/>
      <c r="PE21" s="156"/>
      <c r="PF21" s="156"/>
      <c r="PG21" s="156"/>
      <c r="PH21" s="156"/>
      <c r="PI21" s="156"/>
      <c r="PJ21" s="156"/>
      <c r="PK21" s="156"/>
      <c r="PL21" s="156"/>
      <c r="PM21" s="156"/>
      <c r="PN21" s="156"/>
      <c r="PO21" s="156"/>
      <c r="PP21" s="156"/>
      <c r="PQ21" s="156"/>
      <c r="PR21" s="156"/>
      <c r="PS21" s="156"/>
      <c r="PT21" s="156"/>
      <c r="PU21" s="156"/>
      <c r="PV21" s="156"/>
      <c r="PW21" s="156"/>
      <c r="PX21" s="156"/>
      <c r="PY21" s="156"/>
      <c r="PZ21" s="156"/>
      <c r="QA21" s="156"/>
      <c r="QB21" s="156"/>
      <c r="QC21" s="156"/>
      <c r="QD21" s="156"/>
      <c r="QE21" s="156"/>
      <c r="QF21" s="156"/>
      <c r="QG21" s="156"/>
      <c r="QH21" s="156"/>
      <c r="QI21" s="156"/>
      <c r="QJ21" s="156"/>
      <c r="QK21" s="156"/>
      <c r="QL21" s="156"/>
      <c r="QM21" s="156"/>
      <c r="QN21" s="156"/>
      <c r="QO21" s="156"/>
      <c r="QP21" s="156"/>
      <c r="QQ21" s="156"/>
      <c r="QR21" s="156"/>
      <c r="QS21" s="156"/>
      <c r="QT21" s="156"/>
    </row>
    <row r="22" spans="1:462">
      <c r="A22" s="58" t="s">
        <v>948</v>
      </c>
      <c r="C22" s="757"/>
      <c r="D22" s="757"/>
      <c r="E22" s="757"/>
      <c r="F22" s="757"/>
      <c r="H22" s="757"/>
      <c r="I22" s="757"/>
      <c r="J22" s="757"/>
      <c r="K22" s="757"/>
      <c r="M22" s="668">
        <v>0</v>
      </c>
      <c r="N22" s="668">
        <v>0</v>
      </c>
      <c r="O22" s="668">
        <v>0</v>
      </c>
      <c r="P22" s="668">
        <v>0</v>
      </c>
      <c r="R22" s="668"/>
      <c r="S22" s="668"/>
      <c r="T22" s="668"/>
      <c r="U22" s="668"/>
      <c r="W22" s="671"/>
      <c r="X22" s="671"/>
      <c r="Y22" s="671"/>
      <c r="Z22" s="671"/>
      <c r="AB22" s="668"/>
      <c r="AC22" s="668"/>
      <c r="AD22" s="668"/>
      <c r="AE22" s="668"/>
      <c r="AG22" s="671">
        <v>0</v>
      </c>
      <c r="AH22" s="671">
        <v>0</v>
      </c>
      <c r="AI22" s="671">
        <v>0</v>
      </c>
      <c r="AJ22" s="671"/>
      <c r="AL22" s="668"/>
      <c r="AM22" s="668"/>
      <c r="AN22" s="668"/>
      <c r="AO22" s="668"/>
      <c r="AQ22" s="668"/>
      <c r="AR22" s="668"/>
      <c r="AS22" s="668"/>
      <c r="AT22" s="668"/>
      <c r="AV22" s="668"/>
      <c r="AW22" s="668"/>
      <c r="AX22" s="668"/>
      <c r="AY22" s="668"/>
      <c r="BA22" s="668">
        <v>0</v>
      </c>
      <c r="BB22" s="668">
        <v>0</v>
      </c>
      <c r="BC22" s="668">
        <v>0</v>
      </c>
      <c r="BD22" s="668">
        <v>0</v>
      </c>
      <c r="BF22" s="668">
        <f t="shared" si="58"/>
        <v>0</v>
      </c>
      <c r="BG22" s="668">
        <f t="shared" si="48"/>
        <v>0</v>
      </c>
      <c r="BH22" s="668">
        <f t="shared" si="48"/>
        <v>0</v>
      </c>
      <c r="BI22" s="668">
        <f t="shared" si="49"/>
        <v>0</v>
      </c>
      <c r="BK22" s="668"/>
      <c r="BL22" s="668"/>
      <c r="BM22" s="668"/>
      <c r="BN22" s="668"/>
      <c r="BP22" s="668">
        <v>0</v>
      </c>
      <c r="BQ22" s="668">
        <v>0</v>
      </c>
      <c r="BR22" s="668">
        <v>0</v>
      </c>
      <c r="BS22" s="668"/>
      <c r="BU22" s="668"/>
      <c r="BV22" s="668"/>
      <c r="BW22" s="668"/>
      <c r="BX22" s="668"/>
      <c r="BZ22" s="668"/>
      <c r="CA22" s="668"/>
      <c r="CB22" s="668"/>
      <c r="CC22" s="668"/>
      <c r="CE22" s="668"/>
      <c r="CF22" s="668"/>
      <c r="CG22" s="668"/>
      <c r="CH22" s="668"/>
      <c r="CJ22" s="668">
        <f>(SUM([12]segmenty!$I$48:$J$48))*1000</f>
        <v>1030000</v>
      </c>
      <c r="CK22" s="668">
        <f>(SUM([12]segmenty!$I$73:$J$73))*1000</f>
        <v>801000</v>
      </c>
      <c r="CL22" s="668">
        <f>(SUM([12]segmenty!$I$70:$J$70))*1000</f>
        <v>50000</v>
      </c>
      <c r="CM22" s="668">
        <v>0</v>
      </c>
      <c r="CO22" s="668">
        <f t="shared" si="52"/>
        <v>484000</v>
      </c>
      <c r="CP22" s="668">
        <f t="shared" si="52"/>
        <v>517000</v>
      </c>
      <c r="CQ22" s="668">
        <f t="shared" si="52"/>
        <v>-20000</v>
      </c>
      <c r="CR22" s="668"/>
      <c r="CT22" s="668">
        <f>(SUM([13]segmenty!$I$48:$J$48))*1000</f>
        <v>546000</v>
      </c>
      <c r="CU22" s="668">
        <f>(SUM([13]segmenty!$I$73:$J$73))*1000</f>
        <v>284000</v>
      </c>
      <c r="CV22" s="668">
        <f>(SUM([13]segmenty!$I$70:$J$70))*1000</f>
        <v>70000</v>
      </c>
      <c r="CW22" s="668"/>
      <c r="CY22" s="668">
        <f>('[13]segmenty 3 m-ce PREZ'!$K$39)*1000</f>
        <v>123000</v>
      </c>
      <c r="CZ22" s="668">
        <f>('[13]segmenty 3 m-ce PREZ'!$K$46)*1000</f>
        <v>-47000</v>
      </c>
      <c r="DA22" s="668">
        <f>('[13]segmenty 3 m-ce PREZ'!$K$42)*1000</f>
        <v>-75000</v>
      </c>
      <c r="DB22" s="668"/>
      <c r="DD22" s="668">
        <f>(SUM([14]segmenty!$I$48:$J$48))*1000</f>
        <v>423000</v>
      </c>
      <c r="DE22" s="668">
        <f>(SUM([14]segmenty!$I$72:$J$72))*1000</f>
        <v>331000</v>
      </c>
      <c r="DF22" s="668">
        <f>(SUM([14]segmenty!$I$69:$J$69))*1000</f>
        <v>145000</v>
      </c>
      <c r="DG22" s="668">
        <f>(SUM([14]segmenty!$I$63:$J$63))*1000</f>
        <v>0</v>
      </c>
      <c r="DI22" s="668">
        <f>(SUM('[14]segmenty 3 m-ce'!$I$101:$J$101))*1000</f>
        <v>230000</v>
      </c>
      <c r="DJ22" s="668">
        <f>(SUM('[14]segmenty 3 m-ce'!$I$115:$J$115))*1000</f>
        <v>210000</v>
      </c>
      <c r="DK22" s="668">
        <f>(SUM('[14]segmenty 3 m-ce'!$I$112:$J$112))*1000</f>
        <v>76000</v>
      </c>
      <c r="DL22" s="668"/>
      <c r="DN22" s="668">
        <f>SUM([15]segmenty!$I$48:$J$48)*1000</f>
        <v>193000</v>
      </c>
      <c r="DO22" s="668">
        <f>SUM([15]segmenty!$I$71:$J$71)*1000</f>
        <v>121000</v>
      </c>
      <c r="DP22" s="668">
        <f>SUM([15]segmenty!$I$69:$J$69)*1000</f>
        <v>69000</v>
      </c>
      <c r="DQ22" s="668">
        <f>SUM([15]segmenty!$I$63:$J$63)*1000</f>
        <v>0</v>
      </c>
      <c r="DS22" s="668">
        <f>DX22-EH15</f>
        <v>-540000</v>
      </c>
      <c r="DT22" s="668">
        <f>DY22-EI15</f>
        <v>58000</v>
      </c>
      <c r="DU22" s="668">
        <f>DZ22-EJ15</f>
        <v>16000</v>
      </c>
      <c r="DV22" s="668">
        <f t="shared" si="57"/>
        <v>953000</v>
      </c>
      <c r="DX22" s="668">
        <v>450000</v>
      </c>
      <c r="DY22" s="668">
        <v>-116000</v>
      </c>
      <c r="DZ22" s="668">
        <v>-444000</v>
      </c>
      <c r="EA22" s="668">
        <v>953000</v>
      </c>
      <c r="EC22" s="461"/>
      <c r="ED22" s="461"/>
      <c r="EE22" s="461"/>
      <c r="EF22" s="461"/>
      <c r="EH22" s="461"/>
      <c r="EI22" s="461"/>
      <c r="EJ22" s="461"/>
      <c r="EK22" s="461"/>
      <c r="EM22" s="461"/>
      <c r="EN22" s="461"/>
      <c r="EO22" s="461"/>
      <c r="EP22" s="461"/>
      <c r="ER22" s="461"/>
      <c r="ES22" s="461"/>
      <c r="ET22" s="461"/>
      <c r="EU22" s="461"/>
      <c r="EW22" s="461"/>
      <c r="EX22" s="461"/>
      <c r="EY22" s="461"/>
      <c r="EZ22" s="461"/>
      <c r="FB22" s="461"/>
      <c r="FC22" s="461"/>
      <c r="FD22" s="461"/>
      <c r="FE22" s="461"/>
      <c r="FG22" s="461"/>
      <c r="FH22" s="461"/>
      <c r="FI22" s="461"/>
      <c r="FJ22" s="461"/>
      <c r="FL22" s="461"/>
      <c r="FM22" s="461"/>
      <c r="FN22" s="461"/>
      <c r="FO22" s="461"/>
      <c r="FQ22" s="461"/>
      <c r="FR22" s="461"/>
      <c r="FS22" s="461"/>
      <c r="FT22" s="461"/>
      <c r="FV22" s="461"/>
      <c r="FW22" s="461"/>
      <c r="FX22" s="461"/>
      <c r="FY22" s="461"/>
      <c r="GA22" s="461"/>
      <c r="GB22" s="461"/>
      <c r="GC22" s="461"/>
      <c r="GD22" s="461"/>
      <c r="GF22" s="461"/>
      <c r="GG22" s="461"/>
      <c r="GH22" s="461"/>
      <c r="GI22" s="461"/>
      <c r="GK22" s="461">
        <f t="shared" si="36"/>
        <v>29677</v>
      </c>
      <c r="GL22" s="461">
        <f t="shared" si="36"/>
        <v>41512</v>
      </c>
      <c r="GM22" s="461">
        <f t="shared" si="36"/>
        <v>53342</v>
      </c>
      <c r="GN22" s="461">
        <f t="shared" si="37"/>
        <v>2758401</v>
      </c>
      <c r="GP22" s="461">
        <v>445956</v>
      </c>
      <c r="GQ22" s="461">
        <v>178126</v>
      </c>
      <c r="GR22" s="461">
        <v>96406</v>
      </c>
      <c r="GS22" s="461">
        <v>2758401</v>
      </c>
      <c r="GU22" s="461">
        <v>65771</v>
      </c>
      <c r="GV22" s="461">
        <v>-2979</v>
      </c>
      <c r="GW22" s="461">
        <v>-34472</v>
      </c>
      <c r="GX22" s="461">
        <f t="shared" si="38"/>
        <v>2758401</v>
      </c>
      <c r="GZ22" s="461">
        <v>416279</v>
      </c>
      <c r="HA22" s="461">
        <v>136614</v>
      </c>
      <c r="HB22" s="461">
        <v>43064</v>
      </c>
      <c r="HC22" s="461">
        <v>2758401</v>
      </c>
      <c r="HE22" s="461">
        <f t="shared" si="39"/>
        <v>124815</v>
      </c>
      <c r="HF22" s="462">
        <f t="shared" si="39"/>
        <v>31596</v>
      </c>
      <c r="HG22" s="461">
        <f t="shared" si="39"/>
        <v>21</v>
      </c>
      <c r="HH22" s="461">
        <v>2758401</v>
      </c>
      <c r="HJ22" s="461">
        <v>350508</v>
      </c>
      <c r="HK22" s="462">
        <v>139593</v>
      </c>
      <c r="HL22" s="461">
        <v>77536</v>
      </c>
      <c r="HM22" s="461">
        <v>2758401</v>
      </c>
      <c r="HO22" s="461">
        <v>225693</v>
      </c>
      <c r="HP22" s="462">
        <v>107997</v>
      </c>
      <c r="HQ22" s="461">
        <v>77515</v>
      </c>
      <c r="HR22" s="461"/>
      <c r="HS22" s="5"/>
      <c r="HT22" s="339"/>
      <c r="HU22" s="340"/>
      <c r="HV22" s="339"/>
      <c r="HW22" s="339"/>
      <c r="HY22" s="339"/>
      <c r="HZ22" s="340"/>
      <c r="IA22" s="339"/>
      <c r="IB22" s="339"/>
      <c r="ID22" s="339"/>
      <c r="IE22" s="340"/>
      <c r="IF22" s="339"/>
      <c r="IG22" s="339"/>
      <c r="II22" s="339"/>
      <c r="IJ22" s="340"/>
      <c r="IK22" s="339"/>
      <c r="IL22" s="339"/>
      <c r="IO22" s="339"/>
      <c r="IP22" s="340"/>
      <c r="IQ22" s="339"/>
      <c r="IR22" s="339"/>
      <c r="IT22" s="339"/>
      <c r="IU22" s="340"/>
      <c r="IV22" s="339"/>
      <c r="IW22" s="339"/>
      <c r="IY22" s="339"/>
      <c r="IZ22" s="340"/>
      <c r="JA22" s="339"/>
      <c r="JB22" s="339"/>
      <c r="JD22" s="339"/>
      <c r="JE22" s="339"/>
      <c r="JF22" s="339"/>
      <c r="JG22" s="339"/>
      <c r="JI22" s="339"/>
      <c r="JJ22" s="340"/>
      <c r="JK22" s="339"/>
      <c r="JL22" s="339"/>
      <c r="JN22" s="339"/>
      <c r="JO22" s="340"/>
      <c r="JP22" s="339"/>
      <c r="JQ22" s="339"/>
      <c r="JS22" s="339"/>
      <c r="JT22" s="340"/>
      <c r="JU22" s="339"/>
      <c r="JV22" s="339"/>
      <c r="JX22" s="165"/>
      <c r="JY22" s="317"/>
      <c r="JZ22" s="165"/>
      <c r="KA22" s="165"/>
      <c r="KC22" s="165"/>
      <c r="KD22" s="317"/>
      <c r="KE22" s="165"/>
      <c r="KF22" s="165"/>
      <c r="KH22" s="155"/>
      <c r="KI22" s="182"/>
      <c r="KJ22" s="155"/>
      <c r="KK22" s="155"/>
      <c r="KM22" s="155"/>
      <c r="KN22" s="155"/>
      <c r="KO22" s="155"/>
      <c r="KP22" s="155"/>
      <c r="KR22" s="155"/>
      <c r="KS22" s="182"/>
      <c r="KT22" s="155"/>
      <c r="KU22" s="155"/>
      <c r="KV22" s="156"/>
      <c r="KW22" s="155"/>
      <c r="KX22" s="155"/>
      <c r="KY22" s="155"/>
      <c r="KZ22" s="155"/>
      <c r="LA22" s="155"/>
      <c r="LB22" s="155"/>
      <c r="LC22" s="155"/>
      <c r="LD22" s="155"/>
      <c r="LE22" s="155"/>
      <c r="LF22" s="156"/>
      <c r="LG22" s="155"/>
      <c r="LH22" s="155"/>
      <c r="LI22" s="155"/>
      <c r="LJ22" s="155"/>
      <c r="LK22" s="156"/>
      <c r="LL22" s="155"/>
      <c r="LM22" s="155"/>
      <c r="LN22" s="155"/>
      <c r="LO22" s="155"/>
      <c r="LP22" s="156"/>
      <c r="LQ22" s="155"/>
      <c r="LR22" s="155"/>
      <c r="LS22" s="155"/>
      <c r="LT22" s="155"/>
      <c r="LU22" s="156"/>
      <c r="LV22" s="155"/>
      <c r="LW22" s="155"/>
      <c r="LX22" s="155"/>
      <c r="LY22" s="155"/>
      <c r="LZ22" s="156"/>
      <c r="MA22" s="155"/>
      <c r="MB22" s="155"/>
      <c r="MC22" s="155"/>
      <c r="MD22" s="155"/>
      <c r="ME22" s="156"/>
      <c r="MF22" s="155"/>
      <c r="MG22" s="155"/>
      <c r="MH22" s="155"/>
      <c r="MI22" s="155"/>
      <c r="MJ22" s="156"/>
      <c r="MK22" s="155"/>
      <c r="ML22" s="155"/>
      <c r="MM22" s="155"/>
      <c r="MN22" s="155"/>
      <c r="MO22" s="156"/>
      <c r="MP22" s="155"/>
      <c r="MQ22" s="155"/>
      <c r="MR22" s="155"/>
      <c r="MS22" s="155"/>
      <c r="MT22" s="156"/>
      <c r="MU22" s="155"/>
      <c r="MV22" s="155"/>
      <c r="MW22" s="155"/>
      <c r="MX22" s="155"/>
      <c r="MY22" s="156"/>
      <c r="MZ22" s="155"/>
      <c r="NA22" s="155"/>
      <c r="NB22" s="155"/>
      <c r="NC22" s="155"/>
      <c r="ND22" s="156"/>
      <c r="NE22" s="155"/>
      <c r="NF22" s="155"/>
      <c r="NG22" s="155"/>
      <c r="NH22" s="155"/>
      <c r="NI22" s="162"/>
      <c r="NJ22" s="155"/>
      <c r="NK22" s="155"/>
      <c r="NL22" s="155"/>
      <c r="NM22" s="155"/>
      <c r="NN22" s="162"/>
      <c r="NO22" s="155"/>
      <c r="NP22" s="155"/>
      <c r="NQ22" s="155"/>
      <c r="NR22" s="155"/>
      <c r="NS22" s="156"/>
      <c r="NT22" s="155"/>
      <c r="NU22" s="155"/>
      <c r="NV22" s="155"/>
      <c r="NW22" s="155"/>
      <c r="NX22" s="156"/>
      <c r="NY22" s="155"/>
      <c r="NZ22" s="155"/>
      <c r="OA22" s="155"/>
      <c r="OB22" s="155"/>
      <c r="OC22" s="156"/>
      <c r="OD22" s="155"/>
      <c r="OE22" s="155"/>
      <c r="OF22" s="155"/>
      <c r="OG22" s="155"/>
      <c r="OH22" s="156"/>
      <c r="OI22" s="155"/>
      <c r="OJ22" s="155"/>
      <c r="OK22" s="155"/>
      <c r="OL22" s="155"/>
      <c r="OM22" s="156"/>
      <c r="ON22" s="162" t="s">
        <v>81</v>
      </c>
      <c r="OO22" s="155">
        <v>204495</v>
      </c>
      <c r="OP22" s="155">
        <v>135563</v>
      </c>
      <c r="OQ22" s="155">
        <v>92978</v>
      </c>
      <c r="OR22" s="155">
        <v>1944940</v>
      </c>
      <c r="OS22" s="156"/>
      <c r="OT22" s="155">
        <v>128900</v>
      </c>
      <c r="OU22" s="155">
        <v>83842</v>
      </c>
      <c r="OV22" s="155">
        <v>56875</v>
      </c>
      <c r="OW22" s="155">
        <v>1944940</v>
      </c>
      <c r="OX22" s="156"/>
      <c r="OY22" s="155">
        <v>92455</v>
      </c>
      <c r="OZ22" s="155">
        <v>62060</v>
      </c>
      <c r="PA22" s="155">
        <v>43969</v>
      </c>
      <c r="PB22" s="155">
        <v>1944940</v>
      </c>
      <c r="PC22" s="156"/>
      <c r="PD22" s="156"/>
      <c r="PE22" s="156"/>
      <c r="PF22" s="156"/>
      <c r="PG22" s="156"/>
      <c r="PH22" s="156"/>
      <c r="PI22" s="156"/>
      <c r="PJ22" s="156"/>
      <c r="PK22" s="156"/>
      <c r="PL22" s="156"/>
      <c r="PM22" s="156"/>
      <c r="PN22" s="156"/>
      <c r="PO22" s="156"/>
      <c r="PP22" s="156"/>
      <c r="PQ22" s="156"/>
      <c r="PR22" s="156"/>
      <c r="PS22" s="156"/>
      <c r="PT22" s="156"/>
      <c r="PU22" s="156"/>
      <c r="PV22" s="156"/>
      <c r="PW22" s="156"/>
      <c r="PX22" s="156"/>
      <c r="PY22" s="156"/>
      <c r="PZ22" s="156"/>
      <c r="QA22" s="156"/>
      <c r="QB22" s="156"/>
      <c r="QC22" s="156"/>
      <c r="QD22" s="156"/>
      <c r="QE22" s="156"/>
      <c r="QF22" s="156"/>
      <c r="QG22" s="156"/>
      <c r="QH22" s="156"/>
      <c r="QI22" s="156"/>
      <c r="QJ22" s="156"/>
      <c r="QK22" s="156"/>
      <c r="QL22" s="156"/>
      <c r="QM22" s="156"/>
      <c r="QN22" s="156"/>
      <c r="QO22" s="156"/>
      <c r="QP22" s="156"/>
      <c r="QQ22" s="156"/>
      <c r="QR22" s="156"/>
      <c r="QS22" s="156"/>
      <c r="QT22" s="156"/>
    </row>
    <row r="23" spans="1:462">
      <c r="A23" s="305" t="s">
        <v>951</v>
      </c>
      <c r="C23" s="758">
        <f>'[3]segmenty prez'!$H$48*1000</f>
        <v>-8981000</v>
      </c>
      <c r="D23" s="758">
        <f>'[3]segmenty prez'!$H$58*1000</f>
        <v>-86000</v>
      </c>
      <c r="E23" s="758">
        <f>'[3]segmenty prez'!$H$54*1000</f>
        <v>-81000</v>
      </c>
      <c r="F23" s="758">
        <f>'[3]segmenty prez'!$H$69*1000</f>
        <v>919000</v>
      </c>
      <c r="H23" s="758">
        <f>'[3]segmenty 3 m-ce PREZ'!$H$41*1000</f>
        <v>-4727000</v>
      </c>
      <c r="I23" s="758">
        <f>'[3]segmenty 3 m-ce PREZ'!$H$51*1000</f>
        <v>-43000</v>
      </c>
      <c r="J23" s="758">
        <f>'[3]segmenty 3 m-ce PREZ'!$H$47*1000</f>
        <v>-41000</v>
      </c>
      <c r="K23" s="758">
        <f>F23</f>
        <v>919000</v>
      </c>
      <c r="M23" s="463">
        <f>('[4]segmenty prez'!$H$48)*1000</f>
        <v>-4254000</v>
      </c>
      <c r="N23" s="463">
        <f>('[4]segmenty prez'!$H$58)*1000</f>
        <v>-43000</v>
      </c>
      <c r="O23" s="463">
        <f>('[4]segmenty prez'!$H$54)*1000</f>
        <v>-40000</v>
      </c>
      <c r="P23" s="463">
        <f>('[4]segmenty prez'!$H$69)*1000</f>
        <v>919000</v>
      </c>
      <c r="R23" s="463">
        <f>([5]segmenty!$H$49)*1000</f>
        <v>-18772000</v>
      </c>
      <c r="S23" s="463">
        <f>([5]segmenty!$H$76)*1000</f>
        <v>-182000</v>
      </c>
      <c r="T23" s="463">
        <f>([5]segmenty!$H$73)*1000</f>
        <v>-173000</v>
      </c>
      <c r="U23" s="463">
        <f>([5]segmenty!$H$67)*1000</f>
        <v>1146000</v>
      </c>
      <c r="W23" s="672">
        <f t="shared" ref="W23" si="59">R23-AB23</f>
        <v>-4382000</v>
      </c>
      <c r="X23" s="672">
        <f t="shared" ref="X23" si="60">S23-AC23</f>
        <v>-48000</v>
      </c>
      <c r="Y23" s="672">
        <f t="shared" ref="Y23" si="61">T23-AD23</f>
        <v>-47000</v>
      </c>
      <c r="Z23" s="672">
        <f t="shared" ref="Z23" si="62">U23</f>
        <v>1146000</v>
      </c>
      <c r="AB23" s="463">
        <f>'[6]segmenty prez'!$H$45*1000-20000</f>
        <v>-14390000</v>
      </c>
      <c r="AC23" s="463">
        <f>'[6]segmenty prez'!$H$52*1000</f>
        <v>-134000</v>
      </c>
      <c r="AD23" s="463">
        <f>'[6]segmenty prez'!$H$48*1000</f>
        <v>-126000</v>
      </c>
      <c r="AE23" s="463">
        <f>'[6]segmenty prez'!$H$63*1000</f>
        <v>1146000</v>
      </c>
      <c r="AG23" s="672">
        <f>([6]segmenty!$H$47)*1000</f>
        <v>-14370000</v>
      </c>
      <c r="AH23" s="672">
        <f>([6]segmenty!$H$72)*1000</f>
        <v>-134000</v>
      </c>
      <c r="AI23" s="672">
        <f>([6]segmenty!$H$69)*1000</f>
        <v>-126000</v>
      </c>
      <c r="AJ23" s="672">
        <f>AE23</f>
        <v>1146000</v>
      </c>
      <c r="AL23" s="463">
        <f>'[7]segmenty prez'!$H$45*1000</f>
        <v>-8217000</v>
      </c>
      <c r="AM23" s="463">
        <f>'[7]segmenty prez'!$H$52*1000</f>
        <v>-91000</v>
      </c>
      <c r="AN23" s="463">
        <f>'[7]segmenty prez'!$H$48*1000</f>
        <v>-88000</v>
      </c>
      <c r="AO23" s="463">
        <f>'[7]segmenty prez'!$H$63*1000</f>
        <v>1146000</v>
      </c>
      <c r="AQ23" s="463">
        <f>'[7]segmenty 3 m-ce PREZ'!$H$38*1000</f>
        <v>-3419000</v>
      </c>
      <c r="AR23" s="463">
        <f>'[7]segmenty 3 m-ce PREZ'!$H$45*1000</f>
        <v>-44000</v>
      </c>
      <c r="AS23" s="463">
        <f>'[7]segmenty 3 m-ce PREZ'!$H$41*1000</f>
        <v>-42000</v>
      </c>
      <c r="AT23" s="463">
        <f>AO23</f>
        <v>1146000</v>
      </c>
      <c r="AV23" s="463">
        <f>([8]segmenty!$H$47)*1000</f>
        <v>-4798000</v>
      </c>
      <c r="AW23" s="463">
        <f>([8]segmenty!$H$72)*1000</f>
        <v>-47000</v>
      </c>
      <c r="AX23" s="463">
        <f>([8]segmenty!$H$69)*1000</f>
        <v>-46000</v>
      </c>
      <c r="AY23" s="463">
        <f>([8]segmenty!$H$63)*1000</f>
        <v>1146000</v>
      </c>
      <c r="BA23" s="463">
        <f>([9]segmenty!$H$47)*1000</f>
        <v>-20018000</v>
      </c>
      <c r="BB23" s="463">
        <f>([9]segmenty!$H$72)*1000</f>
        <v>-32000</v>
      </c>
      <c r="BC23" s="463">
        <f>([9]segmenty!$H$69)*1000</f>
        <v>-29000</v>
      </c>
      <c r="BD23" s="463">
        <f>([9]segmenty!$H$63)*1000</f>
        <v>1748000</v>
      </c>
      <c r="BF23" s="463">
        <f>BA23-BK23</f>
        <v>-5563000</v>
      </c>
      <c r="BG23" s="463">
        <f t="shared" si="48"/>
        <v>-47000</v>
      </c>
      <c r="BH23" s="463">
        <f t="shared" si="48"/>
        <v>-46000</v>
      </c>
      <c r="BI23" s="463">
        <f t="shared" si="49"/>
        <v>1748000</v>
      </c>
      <c r="BK23" s="463">
        <f>([10]segmenty!$H$47)*1000+583000</f>
        <v>-14455000</v>
      </c>
      <c r="BL23" s="463">
        <f>([10]segmenty!$H$72)*1000</f>
        <v>15000</v>
      </c>
      <c r="BM23" s="463">
        <f>([10]segmenty!$H$69)*1000</f>
        <v>17000</v>
      </c>
      <c r="BN23" s="463">
        <f>([10]segmenty!$H$63)*1000</f>
        <v>1748000</v>
      </c>
      <c r="BP23" s="463">
        <f>('[6]segmenty 3 m-ce PREZ'!$H$38)*1000</f>
        <v>-6153000</v>
      </c>
      <c r="BQ23" s="463">
        <f>('[6]segmenty 3 m-ce PREZ'!$H$45)*1000</f>
        <v>-43000</v>
      </c>
      <c r="BR23" s="463">
        <f>('[6]segmenty 3 m-ce PREZ'!$H$41)*1000</f>
        <v>-38000</v>
      </c>
      <c r="BS23" s="463">
        <f>BN23</f>
        <v>1748000</v>
      </c>
      <c r="BU23" s="463">
        <f>'[17]segmenty prez'!$H$45*1000+583000</f>
        <v>-11290000</v>
      </c>
      <c r="BV23" s="463">
        <f>'[17]segmenty prez'!$H$52*1000</f>
        <v>49000</v>
      </c>
      <c r="BW23" s="463">
        <f>'[17]segmenty prez'!$H$48*1000</f>
        <v>49000</v>
      </c>
      <c r="BX23" s="463">
        <f>[17]segmenty!$H$63*1000</f>
        <v>1748000</v>
      </c>
      <c r="BZ23" s="463" t="e">
        <f>#REF!*1000-3000</f>
        <v>#REF!</v>
      </c>
      <c r="CA23" s="463" t="e">
        <f>#REF!*1000</f>
        <v>#REF!</v>
      </c>
      <c r="CB23" s="463" t="e">
        <f>#REF!*1000</f>
        <v>#REF!</v>
      </c>
      <c r="CC23" s="463">
        <f>BX23</f>
        <v>1748000</v>
      </c>
      <c r="CE23" s="463">
        <f>'[11]segmenty prez'!$G$45*1000-43000+586000</f>
        <v>-6142000</v>
      </c>
      <c r="CF23" s="463">
        <f>'[11]segmenty prez'!$G$52*1000</f>
        <v>85000</v>
      </c>
      <c r="CG23" s="463">
        <f>'[11]segmenty prez'!$G$48*1000</f>
        <v>86000</v>
      </c>
      <c r="CH23" s="463">
        <f>'[11]segmenty prez'!$G$63*1000</f>
        <v>1748000</v>
      </c>
      <c r="CJ23" s="463"/>
      <c r="CK23" s="463"/>
      <c r="CL23" s="463"/>
      <c r="CM23" s="463"/>
      <c r="CO23" s="463"/>
      <c r="CP23" s="463"/>
      <c r="CQ23" s="463"/>
      <c r="CR23" s="463"/>
      <c r="CT23" s="463"/>
      <c r="CU23" s="463"/>
      <c r="CV23" s="463"/>
      <c r="CW23" s="463"/>
      <c r="CY23" s="463"/>
      <c r="CZ23" s="463"/>
      <c r="DA23" s="463"/>
      <c r="DB23" s="463"/>
      <c r="DD23" s="463"/>
      <c r="DE23" s="463"/>
      <c r="DF23" s="463"/>
      <c r="DG23" s="463"/>
      <c r="DI23" s="463"/>
      <c r="DJ23" s="463"/>
      <c r="DK23" s="463"/>
      <c r="DL23" s="463"/>
      <c r="DN23" s="463"/>
      <c r="DO23" s="463"/>
      <c r="DP23" s="463"/>
      <c r="DQ23" s="463"/>
      <c r="DS23" s="463"/>
      <c r="DT23" s="463"/>
      <c r="DU23" s="463"/>
      <c r="DV23" s="463"/>
      <c r="DX23" s="463"/>
      <c r="DY23" s="463"/>
      <c r="DZ23" s="463"/>
      <c r="EA23" s="463"/>
      <c r="EC23" s="463"/>
      <c r="ED23" s="463"/>
      <c r="EE23" s="463"/>
      <c r="EF23" s="463"/>
      <c r="EH23" s="463"/>
      <c r="EI23" s="463"/>
      <c r="EJ23" s="463"/>
      <c r="EK23" s="463"/>
      <c r="EM23" s="463"/>
      <c r="EN23" s="463"/>
      <c r="EO23" s="463"/>
      <c r="EP23" s="463"/>
      <c r="ER23" s="463"/>
      <c r="ES23" s="463"/>
      <c r="ET23" s="463"/>
      <c r="EU23" s="463"/>
      <c r="EW23" s="463"/>
      <c r="EX23" s="463"/>
      <c r="EY23" s="463"/>
      <c r="EZ23" s="463"/>
      <c r="FB23" s="463"/>
      <c r="FC23" s="463"/>
      <c r="FD23" s="463"/>
      <c r="FE23" s="463"/>
      <c r="FG23" s="463"/>
      <c r="FH23" s="463"/>
      <c r="FI23" s="463"/>
      <c r="FJ23" s="463"/>
      <c r="FL23" s="463"/>
      <c r="FM23" s="463"/>
      <c r="FN23" s="463"/>
      <c r="FO23" s="463"/>
      <c r="FQ23" s="463"/>
      <c r="FR23" s="463"/>
      <c r="FS23" s="463"/>
      <c r="FT23" s="463"/>
      <c r="FV23" s="463"/>
      <c r="FW23" s="463"/>
      <c r="FX23" s="463"/>
      <c r="FY23" s="463"/>
      <c r="GA23" s="463"/>
      <c r="GB23" s="463"/>
      <c r="GC23" s="463"/>
      <c r="GD23" s="463"/>
      <c r="GF23" s="463"/>
      <c r="GG23" s="463"/>
      <c r="GH23" s="463"/>
      <c r="GI23" s="463"/>
      <c r="GK23" s="463"/>
      <c r="GL23" s="463"/>
      <c r="GM23" s="463"/>
      <c r="GN23" s="463"/>
      <c r="GP23" s="463"/>
      <c r="GQ23" s="463"/>
      <c r="GR23" s="463"/>
      <c r="GS23" s="463"/>
      <c r="GU23" s="463"/>
      <c r="GV23" s="463"/>
      <c r="GW23" s="463"/>
      <c r="GX23" s="463"/>
      <c r="GZ23" s="463"/>
      <c r="HA23" s="463"/>
      <c r="HB23" s="463"/>
      <c r="HC23" s="463"/>
      <c r="HE23" s="463"/>
      <c r="HF23" s="464"/>
      <c r="HG23" s="463"/>
      <c r="HH23" s="463"/>
      <c r="HJ23" s="463"/>
      <c r="HK23" s="464"/>
      <c r="HL23" s="463"/>
      <c r="HM23" s="463"/>
      <c r="HO23" s="463"/>
      <c r="HP23" s="464"/>
      <c r="HQ23" s="463"/>
      <c r="HR23" s="463"/>
      <c r="HS23" s="5"/>
      <c r="HT23" s="341"/>
      <c r="HU23" s="342"/>
      <c r="HV23" s="341"/>
      <c r="HW23" s="341"/>
      <c r="HY23" s="341"/>
      <c r="HZ23" s="342"/>
      <c r="IA23" s="341"/>
      <c r="IB23" s="341"/>
      <c r="ID23" s="341"/>
      <c r="IE23" s="342"/>
      <c r="IF23" s="341"/>
      <c r="IG23" s="341"/>
      <c r="II23" s="341"/>
      <c r="IJ23" s="342"/>
      <c r="IK23" s="341"/>
      <c r="IL23" s="341"/>
      <c r="IO23" s="341"/>
      <c r="IP23" s="342"/>
      <c r="IQ23" s="341"/>
      <c r="IR23" s="341"/>
      <c r="IT23" s="341"/>
      <c r="IU23" s="342"/>
      <c r="IV23" s="341"/>
      <c r="IW23" s="341"/>
      <c r="IY23" s="341"/>
      <c r="IZ23" s="342"/>
      <c r="JA23" s="341"/>
      <c r="JB23" s="341"/>
      <c r="JD23" s="341"/>
      <c r="JE23" s="341"/>
      <c r="JF23" s="341"/>
      <c r="JG23" s="341"/>
      <c r="JI23" s="341"/>
      <c r="JJ23" s="342"/>
      <c r="JK23" s="341"/>
      <c r="JL23" s="341"/>
      <c r="JN23" s="341"/>
      <c r="JO23" s="342"/>
      <c r="JP23" s="341"/>
      <c r="JQ23" s="341"/>
      <c r="JS23" s="341"/>
      <c r="JT23" s="342"/>
      <c r="JU23" s="341"/>
      <c r="JV23" s="341"/>
      <c r="JX23" s="318"/>
      <c r="JY23" s="319"/>
      <c r="JZ23" s="318"/>
      <c r="KA23" s="318"/>
      <c r="KC23" s="318"/>
      <c r="KD23" s="319"/>
      <c r="KE23" s="318"/>
      <c r="KF23" s="318"/>
      <c r="KH23" s="180"/>
      <c r="KI23" s="183"/>
      <c r="KJ23" s="180"/>
      <c r="KK23" s="180"/>
      <c r="KM23" s="180"/>
      <c r="KN23" s="180"/>
      <c r="KO23" s="180"/>
      <c r="KP23" s="180"/>
      <c r="KR23" s="180"/>
      <c r="KS23" s="183"/>
      <c r="KT23" s="180"/>
      <c r="KU23" s="180"/>
      <c r="KV23" s="156"/>
      <c r="KW23" s="180"/>
      <c r="KX23" s="180"/>
      <c r="KY23" s="180"/>
      <c r="KZ23" s="180"/>
      <c r="LA23" s="180"/>
      <c r="LB23" s="180"/>
      <c r="LC23" s="180"/>
      <c r="LD23" s="180"/>
      <c r="LE23" s="180"/>
      <c r="LF23" s="156"/>
      <c r="LG23" s="180"/>
      <c r="LH23" s="180"/>
      <c r="LI23" s="180"/>
      <c r="LJ23" s="180"/>
      <c r="LK23" s="156"/>
      <c r="LL23" s="180"/>
      <c r="LM23" s="180"/>
      <c r="LN23" s="180"/>
      <c r="LO23" s="180"/>
      <c r="LP23" s="156"/>
      <c r="LQ23" s="180"/>
      <c r="LR23" s="180"/>
      <c r="LS23" s="180"/>
      <c r="LT23" s="180"/>
      <c r="LU23" s="156"/>
      <c r="LV23" s="180"/>
      <c r="LW23" s="180"/>
      <c r="LX23" s="180"/>
      <c r="LY23" s="180"/>
      <c r="LZ23" s="156"/>
      <c r="MA23" s="180"/>
      <c r="MB23" s="180"/>
      <c r="MC23" s="180"/>
      <c r="MD23" s="180"/>
      <c r="ME23" s="156"/>
      <c r="MF23" s="180"/>
      <c r="MG23" s="180"/>
      <c r="MH23" s="180"/>
      <c r="MI23" s="180"/>
      <c r="MJ23" s="156"/>
      <c r="MK23" s="180"/>
      <c r="ML23" s="180"/>
      <c r="MM23" s="180"/>
      <c r="MN23" s="180"/>
      <c r="MO23" s="156"/>
      <c r="MP23" s="180"/>
      <c r="MQ23" s="180"/>
      <c r="MR23" s="180"/>
      <c r="MS23" s="180"/>
      <c r="MT23" s="156"/>
      <c r="MU23" s="180"/>
      <c r="MV23" s="180"/>
      <c r="MW23" s="180"/>
      <c r="MX23" s="180"/>
      <c r="MY23" s="156"/>
      <c r="MZ23" s="180"/>
      <c r="NA23" s="180"/>
      <c r="NB23" s="180"/>
      <c r="NC23" s="180"/>
      <c r="ND23" s="156"/>
      <c r="NE23" s="180"/>
      <c r="NF23" s="180"/>
      <c r="NG23" s="180"/>
      <c r="NH23" s="180"/>
      <c r="NI23" s="162"/>
      <c r="NJ23" s="180"/>
      <c r="NK23" s="180"/>
      <c r="NL23" s="180"/>
      <c r="NM23" s="180"/>
      <c r="NN23" s="162"/>
      <c r="NO23" s="180"/>
      <c r="NP23" s="180"/>
      <c r="NQ23" s="180"/>
      <c r="NR23" s="180"/>
      <c r="NS23" s="156"/>
      <c r="NT23" s="180"/>
      <c r="NU23" s="180"/>
      <c r="NV23" s="180"/>
      <c r="NW23" s="180"/>
      <c r="NX23" s="156"/>
      <c r="NY23" s="180"/>
      <c r="NZ23" s="180"/>
      <c r="OA23" s="180"/>
      <c r="OB23" s="180"/>
      <c r="OC23" s="156"/>
      <c r="OD23" s="180"/>
      <c r="OE23" s="180"/>
      <c r="OF23" s="180"/>
      <c r="OG23" s="180"/>
      <c r="OH23" s="156"/>
      <c r="OI23" s="180"/>
      <c r="OJ23" s="180"/>
      <c r="OK23" s="180"/>
      <c r="OL23" s="180"/>
      <c r="OM23" s="156"/>
      <c r="ON23" s="162" t="s">
        <v>82</v>
      </c>
      <c r="OO23" s="155">
        <v>1337722</v>
      </c>
      <c r="OP23" s="155">
        <v>235453</v>
      </c>
      <c r="OQ23" s="155">
        <v>110909</v>
      </c>
      <c r="OR23" s="179">
        <v>2169616</v>
      </c>
      <c r="OS23" s="156"/>
      <c r="OT23" s="155">
        <v>925675</v>
      </c>
      <c r="OU23" s="155">
        <v>164893</v>
      </c>
      <c r="OV23" s="155">
        <v>76101</v>
      </c>
      <c r="OW23" s="179">
        <v>2169616</v>
      </c>
      <c r="OX23" s="156"/>
      <c r="OY23" s="155">
        <v>716398</v>
      </c>
      <c r="OZ23" s="155">
        <v>132718</v>
      </c>
      <c r="PA23" s="155">
        <v>74944</v>
      </c>
      <c r="PB23" s="179">
        <v>2169616</v>
      </c>
      <c r="PC23" s="156"/>
      <c r="PD23" s="156"/>
      <c r="PE23" s="156"/>
      <c r="PF23" s="156"/>
      <c r="PG23" s="156"/>
      <c r="PH23" s="156"/>
      <c r="PI23" s="156"/>
      <c r="PJ23" s="156"/>
      <c r="PK23" s="156"/>
      <c r="PL23" s="156"/>
      <c r="PM23" s="156"/>
      <c r="PN23" s="156"/>
      <c r="PO23" s="156"/>
      <c r="PP23" s="156"/>
      <c r="PQ23" s="156"/>
      <c r="PR23" s="156"/>
      <c r="PS23" s="156"/>
      <c r="PT23" s="156"/>
      <c r="PU23" s="156"/>
      <c r="PV23" s="156"/>
      <c r="PW23" s="156"/>
      <c r="PX23" s="156"/>
      <c r="PY23" s="156"/>
      <c r="PZ23" s="156"/>
      <c r="QA23" s="156"/>
      <c r="QB23" s="156"/>
      <c r="QC23" s="156"/>
      <c r="QD23" s="156"/>
      <c r="QE23" s="156"/>
      <c r="QF23" s="156"/>
      <c r="QG23" s="156"/>
      <c r="QH23" s="156"/>
      <c r="QI23" s="156"/>
      <c r="QJ23" s="156"/>
      <c r="QK23" s="156"/>
      <c r="QL23" s="156"/>
      <c r="QM23" s="156"/>
      <c r="QN23" s="156"/>
      <c r="QO23" s="156"/>
      <c r="QP23" s="156"/>
      <c r="QQ23" s="156"/>
      <c r="QR23" s="156"/>
      <c r="QS23" s="156"/>
      <c r="QT23" s="156"/>
    </row>
    <row r="24" spans="1:462">
      <c r="C24" s="626"/>
      <c r="R24" s="626"/>
      <c r="W24" s="626"/>
      <c r="AB24" s="626"/>
      <c r="AG24" s="626"/>
      <c r="AL24" s="626"/>
      <c r="BK24" s="626"/>
      <c r="BU24" s="626"/>
      <c r="KM24" s="156"/>
      <c r="KN24" s="156"/>
      <c r="KO24" s="156"/>
      <c r="KP24" s="156"/>
      <c r="KR24" s="156"/>
      <c r="KS24" s="156"/>
      <c r="KT24" s="156"/>
      <c r="KU24" s="156"/>
      <c r="KV24" s="156"/>
      <c r="KW24" s="156"/>
      <c r="KX24" s="156"/>
      <c r="KY24" s="156"/>
      <c r="KZ24" s="156"/>
      <c r="LA24" s="156"/>
      <c r="LB24" s="156"/>
      <c r="LC24" s="156"/>
      <c r="LD24" s="156"/>
      <c r="LE24" s="156"/>
      <c r="LF24" s="156"/>
      <c r="LG24" s="156"/>
      <c r="LH24" s="156"/>
      <c r="LI24" s="156"/>
      <c r="LJ24" s="156"/>
      <c r="LK24" s="156"/>
      <c r="LL24" s="156"/>
      <c r="LM24" s="156"/>
      <c r="LN24" s="156"/>
      <c r="LO24" s="156"/>
      <c r="LP24" s="156"/>
      <c r="LQ24" s="156"/>
      <c r="LR24" s="156"/>
      <c r="LS24" s="156"/>
      <c r="LT24" s="156"/>
      <c r="LU24" s="156"/>
      <c r="LV24" s="156"/>
      <c r="LW24" s="156"/>
      <c r="LX24" s="156"/>
      <c r="LY24" s="156"/>
      <c r="LZ24" s="156"/>
      <c r="MA24" s="156"/>
      <c r="MB24" s="156"/>
      <c r="MC24" s="156"/>
      <c r="MD24" s="156"/>
      <c r="ME24" s="156"/>
      <c r="MF24" s="156"/>
      <c r="MG24" s="156"/>
      <c r="MH24" s="156"/>
      <c r="MI24" s="156"/>
      <c r="MJ24" s="156"/>
      <c r="MK24" s="156"/>
      <c r="ML24" s="156"/>
      <c r="MM24" s="156"/>
      <c r="MN24" s="156"/>
      <c r="MO24" s="156"/>
      <c r="MP24" s="156"/>
      <c r="MQ24" s="156"/>
      <c r="MR24" s="156"/>
      <c r="MS24" s="156"/>
      <c r="MT24" s="156"/>
      <c r="MU24" s="156"/>
      <c r="MV24" s="156"/>
      <c r="MW24" s="156"/>
      <c r="MX24" s="156"/>
      <c r="MY24" s="156"/>
      <c r="MZ24" s="156"/>
      <c r="NA24" s="156"/>
      <c r="NB24" s="156"/>
      <c r="NC24" s="156"/>
      <c r="ND24" s="156"/>
      <c r="NE24" s="156"/>
      <c r="NF24" s="156"/>
      <c r="NG24" s="156"/>
      <c r="NH24" s="156"/>
      <c r="NI24" s="156"/>
      <c r="NJ24" s="156"/>
      <c r="NK24" s="156"/>
      <c r="NL24" s="156"/>
      <c r="NM24" s="156"/>
      <c r="NN24" s="156"/>
      <c r="NO24" s="156"/>
      <c r="NP24" s="156"/>
      <c r="NQ24" s="156"/>
      <c r="NR24" s="156"/>
      <c r="NS24" s="156"/>
      <c r="NT24" s="156"/>
      <c r="NU24" s="156"/>
      <c r="NV24" s="156"/>
      <c r="NW24" s="156"/>
      <c r="NX24" s="156"/>
      <c r="NY24" s="156"/>
      <c r="NZ24" s="156"/>
      <c r="OA24" s="156"/>
      <c r="OB24" s="156"/>
      <c r="OC24" s="156"/>
      <c r="OD24" s="156"/>
      <c r="OE24" s="156"/>
      <c r="OF24" s="156"/>
      <c r="OG24" s="156"/>
      <c r="OH24" s="156"/>
      <c r="OI24" s="156"/>
      <c r="OJ24" s="156"/>
      <c r="OK24" s="156"/>
      <c r="OL24" s="156"/>
      <c r="OM24" s="156"/>
      <c r="ON24" s="162" t="s">
        <v>83</v>
      </c>
      <c r="OO24" s="155">
        <v>5997470</v>
      </c>
      <c r="OP24" s="155">
        <v>2208381</v>
      </c>
      <c r="OQ24" s="155">
        <v>1295639</v>
      </c>
      <c r="OR24" s="179">
        <v>14002290</v>
      </c>
      <c r="OS24" s="156"/>
      <c r="OT24" s="155">
        <v>4451191</v>
      </c>
      <c r="OU24" s="155">
        <v>1700695</v>
      </c>
      <c r="OV24" s="155">
        <v>1024329</v>
      </c>
      <c r="OW24" s="179">
        <v>14002290</v>
      </c>
      <c r="OX24" s="156"/>
      <c r="OY24" s="155">
        <v>3010804</v>
      </c>
      <c r="OZ24" s="155">
        <v>1104102</v>
      </c>
      <c r="PA24" s="155">
        <v>656155</v>
      </c>
      <c r="PB24" s="179">
        <v>14002290</v>
      </c>
      <c r="PC24" s="156"/>
      <c r="PD24" s="156"/>
      <c r="PE24" s="156"/>
      <c r="PF24" s="156"/>
      <c r="PG24" s="156"/>
      <c r="PH24" s="156"/>
      <c r="PI24" s="156"/>
      <c r="PJ24" s="156"/>
      <c r="PK24" s="156"/>
      <c r="PL24" s="156"/>
      <c r="PM24" s="156"/>
      <c r="PN24" s="156"/>
      <c r="PO24" s="156"/>
      <c r="PP24" s="156"/>
      <c r="PQ24" s="156"/>
      <c r="PR24" s="156"/>
      <c r="PS24" s="156"/>
      <c r="PT24" s="156"/>
      <c r="PU24" s="156"/>
      <c r="PV24" s="156"/>
      <c r="PW24" s="156"/>
      <c r="PX24" s="156"/>
      <c r="PY24" s="156"/>
      <c r="PZ24" s="156"/>
      <c r="QA24" s="156"/>
      <c r="QB24" s="156"/>
      <c r="QC24" s="156"/>
      <c r="QD24" s="156"/>
      <c r="QE24" s="156"/>
      <c r="QF24" s="156"/>
      <c r="QG24" s="156"/>
      <c r="QH24" s="156"/>
      <c r="QI24" s="156"/>
      <c r="QJ24" s="156"/>
      <c r="QK24" s="156"/>
      <c r="QL24" s="156"/>
      <c r="QM24" s="156"/>
      <c r="QN24" s="156"/>
      <c r="QO24" s="156"/>
      <c r="QP24" s="156"/>
      <c r="QQ24" s="156"/>
      <c r="QR24" s="156"/>
      <c r="QS24" s="156"/>
      <c r="QT24" s="156"/>
    </row>
    <row r="25" spans="1:462">
      <c r="KM25" s="156"/>
      <c r="KN25" s="156"/>
      <c r="KO25" s="156"/>
      <c r="KP25" s="156"/>
      <c r="KR25" s="156"/>
      <c r="KS25" s="156"/>
      <c r="KT25" s="156"/>
      <c r="KU25" s="156"/>
      <c r="KV25" s="156"/>
      <c r="KW25" s="156"/>
      <c r="KX25" s="156"/>
      <c r="KY25" s="156"/>
      <c r="KZ25" s="156"/>
      <c r="LA25" s="156"/>
      <c r="LB25" s="156"/>
      <c r="LC25" s="156"/>
      <c r="LD25" s="156"/>
      <c r="LE25" s="156"/>
      <c r="LF25" s="156"/>
      <c r="LG25" s="156"/>
      <c r="LH25" s="156"/>
      <c r="LI25" s="156"/>
      <c r="LJ25" s="156"/>
      <c r="LK25" s="156"/>
      <c r="LL25" s="156"/>
      <c r="LM25" s="156"/>
      <c r="LN25" s="156"/>
      <c r="LO25" s="156"/>
      <c r="LP25" s="156"/>
      <c r="LQ25" s="156"/>
      <c r="LR25" s="156"/>
      <c r="LS25" s="156"/>
      <c r="LT25" s="156"/>
      <c r="LU25" s="156"/>
      <c r="LV25" s="156"/>
      <c r="LW25" s="156"/>
      <c r="LX25" s="156"/>
      <c r="LY25" s="156"/>
      <c r="LZ25" s="156"/>
      <c r="MA25" s="156"/>
      <c r="MB25" s="156"/>
      <c r="MC25" s="156"/>
      <c r="MD25" s="156"/>
      <c r="ME25" s="156"/>
      <c r="MF25" s="156"/>
      <c r="MG25" s="156"/>
      <c r="MH25" s="156"/>
      <c r="MI25" s="156"/>
      <c r="MJ25" s="156"/>
      <c r="MK25" s="156"/>
      <c r="ML25" s="156"/>
      <c r="MM25" s="156"/>
      <c r="MN25" s="156"/>
      <c r="MO25" s="156"/>
      <c r="MP25" s="156"/>
      <c r="MQ25" s="156"/>
      <c r="MR25" s="156"/>
      <c r="MS25" s="156"/>
      <c r="MT25" s="156"/>
      <c r="MU25" s="156"/>
      <c r="MV25" s="156"/>
      <c r="MW25" s="156"/>
      <c r="MX25" s="156"/>
      <c r="MY25" s="156"/>
      <c r="MZ25" s="156"/>
      <c r="NA25" s="156"/>
      <c r="NB25" s="156"/>
      <c r="NC25" s="156"/>
      <c r="ND25" s="156"/>
      <c r="NE25" s="156"/>
      <c r="NF25" s="156"/>
      <c r="NG25" s="156"/>
      <c r="NH25" s="156"/>
      <c r="NI25" s="156"/>
      <c r="NJ25" s="156"/>
      <c r="NK25" s="156"/>
      <c r="NL25" s="156"/>
      <c r="NM25" s="156"/>
      <c r="NN25" s="156"/>
      <c r="NO25" s="156"/>
      <c r="NP25" s="156"/>
      <c r="NQ25" s="156"/>
      <c r="NR25" s="156"/>
      <c r="NS25" s="156"/>
      <c r="NT25" s="156"/>
      <c r="NU25" s="156"/>
      <c r="NV25" s="156"/>
      <c r="NW25" s="156"/>
      <c r="NX25" s="156"/>
      <c r="NY25" s="156"/>
      <c r="NZ25" s="156"/>
      <c r="OA25" s="156"/>
      <c r="OB25" s="156"/>
      <c r="OC25" s="156"/>
      <c r="OD25" s="156"/>
      <c r="OE25" s="156"/>
      <c r="OF25" s="156"/>
      <c r="OG25" s="156"/>
      <c r="OH25" s="156"/>
      <c r="OI25" s="156"/>
      <c r="OJ25" s="156"/>
      <c r="OK25" s="156"/>
      <c r="OL25" s="156"/>
      <c r="OM25" s="156"/>
      <c r="ON25" s="162" t="s">
        <v>84</v>
      </c>
      <c r="OO25" s="155">
        <v>18017593</v>
      </c>
      <c r="OP25" s="155">
        <v>899208</v>
      </c>
      <c r="OQ25" s="155">
        <v>864579</v>
      </c>
      <c r="OR25" s="179">
        <v>3111539</v>
      </c>
      <c r="OS25" s="156"/>
      <c r="OT25" s="155">
        <v>13301459</v>
      </c>
      <c r="OU25" s="155">
        <v>747154</v>
      </c>
      <c r="OV25" s="155">
        <v>721007</v>
      </c>
      <c r="OW25" s="179">
        <v>3111539</v>
      </c>
      <c r="OX25" s="156"/>
      <c r="OY25" s="155">
        <v>8993554</v>
      </c>
      <c r="OZ25" s="155">
        <v>595731</v>
      </c>
      <c r="PA25" s="155">
        <v>578520</v>
      </c>
      <c r="PB25" s="179">
        <v>3111539</v>
      </c>
      <c r="PC25" s="156"/>
      <c r="PD25" s="156"/>
      <c r="PE25" s="156"/>
      <c r="PF25" s="156"/>
      <c r="PG25" s="156"/>
      <c r="PH25" s="156"/>
      <c r="PI25" s="156"/>
      <c r="PJ25" s="156"/>
      <c r="PK25" s="156"/>
      <c r="PL25" s="156"/>
      <c r="PM25" s="156"/>
      <c r="PN25" s="156"/>
      <c r="PO25" s="156"/>
      <c r="PP25" s="156"/>
      <c r="PQ25" s="156"/>
      <c r="PR25" s="156"/>
      <c r="PS25" s="156"/>
      <c r="PT25" s="156"/>
      <c r="PU25" s="156"/>
      <c r="PV25" s="156"/>
      <c r="PW25" s="156"/>
      <c r="PX25" s="156"/>
      <c r="PY25" s="156"/>
      <c r="PZ25" s="156"/>
      <c r="QA25" s="156"/>
      <c r="QB25" s="156"/>
      <c r="QC25" s="156"/>
      <c r="QD25" s="156"/>
      <c r="QE25" s="156"/>
      <c r="QF25" s="156"/>
      <c r="QG25" s="156"/>
      <c r="QH25" s="156"/>
      <c r="QI25" s="156"/>
      <c r="QJ25" s="156"/>
      <c r="QK25" s="156"/>
      <c r="QL25" s="156"/>
      <c r="QM25" s="156"/>
      <c r="QN25" s="156"/>
      <c r="QO25" s="156"/>
      <c r="QP25" s="156"/>
      <c r="QQ25" s="156"/>
      <c r="QR25" s="156"/>
      <c r="QS25" s="156"/>
      <c r="QT25" s="156"/>
    </row>
    <row r="26" spans="1:462">
      <c r="M26" s="626"/>
      <c r="N26" s="626"/>
      <c r="O26" s="626"/>
      <c r="P26" s="626"/>
      <c r="KM26" s="156"/>
      <c r="KN26" s="156"/>
      <c r="KO26" s="156"/>
      <c r="KP26" s="156"/>
      <c r="KR26" s="156"/>
      <c r="KS26" s="156"/>
      <c r="KT26" s="156"/>
      <c r="KU26" s="156"/>
      <c r="KV26" s="156"/>
      <c r="KW26" s="156"/>
      <c r="KX26" s="156"/>
      <c r="KY26" s="156"/>
      <c r="KZ26" s="156"/>
      <c r="LA26" s="156"/>
      <c r="LB26" s="156"/>
      <c r="LC26" s="156"/>
      <c r="LD26" s="156"/>
      <c r="LE26" s="156"/>
      <c r="LF26" s="156"/>
      <c r="LG26" s="156"/>
      <c r="LH26" s="156"/>
      <c r="LI26" s="156"/>
      <c r="LJ26" s="156"/>
      <c r="LK26" s="156"/>
      <c r="LL26" s="156"/>
      <c r="LM26" s="156"/>
      <c r="LN26" s="156"/>
      <c r="LO26" s="156"/>
      <c r="LP26" s="156"/>
      <c r="LQ26" s="156"/>
      <c r="LR26" s="156"/>
      <c r="LS26" s="156"/>
      <c r="LT26" s="156"/>
      <c r="LU26" s="156"/>
      <c r="LV26" s="156"/>
      <c r="LW26" s="156"/>
      <c r="LX26" s="156"/>
      <c r="LY26" s="156"/>
      <c r="LZ26" s="156"/>
      <c r="MA26" s="156"/>
      <c r="MB26" s="156"/>
      <c r="MC26" s="156"/>
      <c r="MD26" s="156"/>
      <c r="ME26" s="156"/>
      <c r="MF26" s="156"/>
      <c r="MG26" s="156"/>
      <c r="MH26" s="156"/>
      <c r="MI26" s="156"/>
      <c r="MJ26" s="156"/>
      <c r="MK26" s="156"/>
      <c r="ML26" s="156"/>
      <c r="MM26" s="156"/>
      <c r="MN26" s="156"/>
      <c r="MO26" s="156"/>
      <c r="MP26" s="156"/>
      <c r="MQ26" s="156"/>
      <c r="MR26" s="156"/>
      <c r="MS26" s="156"/>
      <c r="MT26" s="156"/>
      <c r="MU26" s="156"/>
      <c r="MV26" s="156"/>
      <c r="MW26" s="156"/>
      <c r="MX26" s="156"/>
      <c r="MY26" s="156"/>
      <c r="MZ26" s="156"/>
      <c r="NA26" s="156"/>
      <c r="NB26" s="156"/>
      <c r="NC26" s="156"/>
      <c r="ND26" s="156"/>
      <c r="NE26" s="156"/>
      <c r="NF26" s="156"/>
      <c r="NG26" s="156"/>
      <c r="NH26" s="156"/>
      <c r="NI26" s="156"/>
      <c r="NJ26" s="156"/>
      <c r="NK26" s="156"/>
      <c r="NL26" s="156"/>
      <c r="NM26" s="156"/>
      <c r="NN26" s="156"/>
      <c r="NO26" s="156"/>
      <c r="NP26" s="156"/>
      <c r="NQ26" s="156"/>
      <c r="NR26" s="156"/>
      <c r="NS26" s="156"/>
      <c r="NT26" s="156"/>
      <c r="NU26" s="156"/>
      <c r="NV26" s="156"/>
      <c r="NW26" s="156"/>
      <c r="NX26" s="156"/>
      <c r="NY26" s="156"/>
      <c r="NZ26" s="156"/>
      <c r="OA26" s="156"/>
      <c r="OB26" s="156"/>
      <c r="OC26" s="156"/>
      <c r="OD26" s="156"/>
      <c r="OE26" s="156"/>
      <c r="OF26" s="156"/>
      <c r="OG26" s="156"/>
      <c r="OH26" s="156"/>
      <c r="OI26" s="156"/>
      <c r="OJ26" s="156"/>
      <c r="OK26" s="156"/>
      <c r="OL26" s="156"/>
      <c r="OM26" s="156"/>
      <c r="ON26" s="162" t="s">
        <v>85</v>
      </c>
      <c r="OO26" s="155">
        <v>492583</v>
      </c>
      <c r="OP26" s="155">
        <v>45283</v>
      </c>
      <c r="OQ26" s="155">
        <v>26837</v>
      </c>
      <c r="OR26" s="155">
        <v>183519</v>
      </c>
      <c r="OS26" s="156"/>
      <c r="OT26" s="155">
        <v>374979</v>
      </c>
      <c r="OU26" s="155">
        <v>71552</v>
      </c>
      <c r="OV26" s="155">
        <v>59678</v>
      </c>
      <c r="OW26" s="155">
        <v>183519</v>
      </c>
      <c r="OX26" s="156"/>
      <c r="OY26" s="155">
        <v>235207</v>
      </c>
      <c r="OZ26" s="155">
        <v>33659</v>
      </c>
      <c r="PA26" s="155">
        <v>26904</v>
      </c>
      <c r="PB26" s="155">
        <v>183519</v>
      </c>
      <c r="PC26" s="156"/>
      <c r="PD26" s="156"/>
      <c r="PE26" s="156"/>
      <c r="PF26" s="156"/>
      <c r="PG26" s="156"/>
      <c r="PH26" s="156"/>
      <c r="PI26" s="156"/>
      <c r="PJ26" s="156"/>
      <c r="PK26" s="156"/>
      <c r="PL26" s="156"/>
      <c r="PM26" s="156"/>
      <c r="PN26" s="156"/>
      <c r="PO26" s="156"/>
      <c r="PP26" s="156"/>
      <c r="PQ26" s="156"/>
      <c r="PR26" s="156"/>
      <c r="PS26" s="156"/>
      <c r="PT26" s="156"/>
      <c r="PU26" s="156"/>
      <c r="PV26" s="156"/>
      <c r="PW26" s="156"/>
      <c r="PX26" s="156"/>
      <c r="PY26" s="156"/>
      <c r="PZ26" s="156"/>
      <c r="QA26" s="156"/>
      <c r="QB26" s="156"/>
      <c r="QC26" s="156"/>
      <c r="QD26" s="156"/>
      <c r="QE26" s="156"/>
      <c r="QF26" s="156"/>
      <c r="QG26" s="156"/>
      <c r="QH26" s="156"/>
      <c r="QI26" s="156"/>
      <c r="QJ26" s="156"/>
      <c r="QK26" s="156"/>
      <c r="QL26" s="156"/>
      <c r="QM26" s="156"/>
      <c r="QN26" s="156"/>
      <c r="QO26" s="156"/>
      <c r="QP26" s="156"/>
      <c r="QQ26" s="156"/>
      <c r="QR26" s="156"/>
      <c r="QS26" s="156"/>
      <c r="QT26" s="156"/>
    </row>
    <row r="27" spans="1:462">
      <c r="M27" s="626"/>
      <c r="N27" s="626"/>
      <c r="O27" s="626"/>
      <c r="P27" s="626"/>
      <c r="CO27" s="10">
        <v>1000</v>
      </c>
      <c r="CY27" s="10">
        <v>1000</v>
      </c>
      <c r="KM27" s="156"/>
      <c r="KN27" s="156"/>
      <c r="KO27" s="156"/>
      <c r="KP27" s="156"/>
      <c r="KR27" s="156"/>
      <c r="KS27" s="156"/>
      <c r="KT27" s="156"/>
      <c r="KU27" s="156"/>
      <c r="KV27" s="156"/>
      <c r="KW27" s="156"/>
      <c r="KX27" s="156"/>
      <c r="KY27" s="156"/>
      <c r="KZ27" s="156"/>
      <c r="LA27" s="156"/>
      <c r="LB27" s="156"/>
      <c r="LC27" s="156"/>
      <c r="LD27" s="156"/>
      <c r="LE27" s="156"/>
      <c r="LF27" s="156"/>
      <c r="LG27" s="156"/>
      <c r="LH27" s="156"/>
      <c r="LI27" s="156"/>
      <c r="LJ27" s="156"/>
      <c r="LK27" s="156"/>
      <c r="LL27" s="156"/>
      <c r="LM27" s="156"/>
      <c r="LN27" s="156"/>
      <c r="LO27" s="156"/>
      <c r="LP27" s="156"/>
      <c r="LQ27" s="156"/>
      <c r="LR27" s="156"/>
      <c r="LS27" s="156"/>
      <c r="LT27" s="156"/>
      <c r="LU27" s="156"/>
      <c r="LV27" s="156"/>
      <c r="LW27" s="156"/>
      <c r="LX27" s="156"/>
      <c r="LY27" s="156"/>
      <c r="LZ27" s="156"/>
      <c r="MA27" s="156"/>
      <c r="MB27" s="156"/>
      <c r="MC27" s="156"/>
      <c r="MD27" s="156"/>
      <c r="ME27" s="156"/>
      <c r="MF27" s="156"/>
      <c r="MG27" s="156"/>
      <c r="MH27" s="156"/>
      <c r="MI27" s="156"/>
      <c r="MJ27" s="156"/>
      <c r="MK27" s="156"/>
      <c r="ML27" s="156"/>
      <c r="MM27" s="156"/>
      <c r="MN27" s="156"/>
      <c r="MO27" s="156"/>
      <c r="MP27" s="156"/>
      <c r="MQ27" s="156"/>
      <c r="MR27" s="156"/>
      <c r="MS27" s="156"/>
      <c r="MT27" s="156"/>
      <c r="MU27" s="156"/>
      <c r="MV27" s="156"/>
      <c r="MW27" s="156"/>
      <c r="MX27" s="156"/>
      <c r="MY27" s="156"/>
      <c r="MZ27" s="156"/>
      <c r="NA27" s="156"/>
      <c r="NB27" s="156"/>
      <c r="NC27" s="156"/>
      <c r="ND27" s="156"/>
      <c r="NE27" s="156"/>
      <c r="NF27" s="156"/>
      <c r="NG27" s="156"/>
      <c r="NH27" s="156"/>
      <c r="NI27" s="156"/>
      <c r="NJ27" s="156"/>
      <c r="NK27" s="156"/>
      <c r="NL27" s="156"/>
      <c r="NM27" s="156"/>
      <c r="NN27" s="156"/>
      <c r="NO27" s="156"/>
      <c r="NP27" s="156"/>
      <c r="NQ27" s="156"/>
      <c r="NR27" s="156"/>
      <c r="NS27" s="156"/>
      <c r="NT27" s="156"/>
      <c r="NU27" s="156"/>
      <c r="NV27" s="156"/>
      <c r="NW27" s="156"/>
      <c r="NX27" s="156"/>
      <c r="NY27" s="156"/>
      <c r="NZ27" s="156"/>
      <c r="OA27" s="156"/>
      <c r="OB27" s="156"/>
      <c r="OC27" s="156"/>
      <c r="OD27" s="156"/>
      <c r="OE27" s="156"/>
      <c r="OF27" s="156"/>
      <c r="OG27" s="156"/>
      <c r="OH27" s="156"/>
      <c r="OI27" s="156"/>
      <c r="OJ27" s="156"/>
      <c r="OK27" s="156"/>
      <c r="OL27" s="156"/>
      <c r="OM27" s="156"/>
      <c r="ON27" s="172" t="s">
        <v>78</v>
      </c>
      <c r="OO27" s="169">
        <v>310212</v>
      </c>
      <c r="OP27" s="169">
        <v>17485</v>
      </c>
      <c r="OQ27" s="169">
        <v>10816</v>
      </c>
      <c r="OR27" s="169">
        <v>170774</v>
      </c>
      <c r="OS27" s="156"/>
      <c r="OT27" s="169">
        <v>233119</v>
      </c>
      <c r="OU27" s="169">
        <v>14099</v>
      </c>
      <c r="OV27" s="169">
        <v>7486</v>
      </c>
      <c r="OW27" s="169">
        <v>170774</v>
      </c>
      <c r="OX27" s="156"/>
      <c r="OY27" s="169">
        <v>165982</v>
      </c>
      <c r="OZ27" s="169">
        <v>6191</v>
      </c>
      <c r="PA27" s="169">
        <v>1763</v>
      </c>
      <c r="PB27" s="169">
        <v>170774</v>
      </c>
      <c r="PC27" s="156"/>
      <c r="PD27" s="156"/>
      <c r="PE27" s="156"/>
      <c r="PF27" s="156"/>
      <c r="PG27" s="156"/>
      <c r="PH27" s="156"/>
      <c r="PI27" s="156"/>
      <c r="PJ27" s="156"/>
      <c r="PK27" s="156"/>
      <c r="PL27" s="156"/>
      <c r="PM27" s="156"/>
      <c r="PN27" s="156"/>
      <c r="PO27" s="156"/>
      <c r="PP27" s="156"/>
      <c r="PQ27" s="156"/>
      <c r="PR27" s="156"/>
      <c r="PS27" s="156"/>
      <c r="PT27" s="156"/>
      <c r="PU27" s="156"/>
      <c r="PV27" s="156"/>
      <c r="PW27" s="156"/>
      <c r="PX27" s="156"/>
      <c r="PY27" s="156"/>
      <c r="PZ27" s="156"/>
      <c r="QA27" s="156"/>
      <c r="QB27" s="156"/>
      <c r="QC27" s="156"/>
      <c r="QD27" s="156"/>
      <c r="QE27" s="156"/>
      <c r="QF27" s="156"/>
      <c r="QG27" s="156"/>
      <c r="QH27" s="156"/>
      <c r="QI27" s="156"/>
      <c r="QJ27" s="156"/>
      <c r="QK27" s="156"/>
      <c r="QL27" s="156"/>
      <c r="QM27" s="156"/>
      <c r="QN27" s="156"/>
      <c r="QO27" s="156"/>
      <c r="QP27" s="156"/>
      <c r="QQ27" s="156"/>
      <c r="QR27" s="156"/>
      <c r="QS27" s="156"/>
      <c r="QT27" s="156"/>
    </row>
    <row r="28" spans="1:462">
      <c r="A28" s="10"/>
      <c r="M28" s="626"/>
      <c r="N28" s="626"/>
      <c r="O28" s="626"/>
      <c r="P28" s="626"/>
      <c r="R28" s="10">
        <v>1000</v>
      </c>
      <c r="KM28" s="156"/>
      <c r="KN28" s="156"/>
      <c r="KO28" s="156"/>
      <c r="KP28" s="156"/>
      <c r="KR28" s="156"/>
      <c r="KS28" s="156"/>
      <c r="KT28" s="156"/>
      <c r="KU28" s="156"/>
      <c r="KV28" s="156"/>
      <c r="KW28" s="156"/>
      <c r="KX28" s="156"/>
      <c r="KY28" s="156"/>
      <c r="KZ28" s="156"/>
      <c r="LA28" s="156"/>
      <c r="LB28" s="156"/>
      <c r="LC28" s="156"/>
      <c r="LD28" s="156"/>
      <c r="LE28" s="156"/>
      <c r="LF28" s="156"/>
      <c r="LG28" s="156"/>
      <c r="LH28" s="156"/>
      <c r="LI28" s="156"/>
      <c r="LJ28" s="156"/>
      <c r="LK28" s="156"/>
      <c r="LL28" s="156"/>
      <c r="LM28" s="156"/>
      <c r="LN28" s="156"/>
      <c r="LO28" s="156"/>
      <c r="LP28" s="156"/>
      <c r="LQ28" s="156"/>
      <c r="LR28" s="156"/>
      <c r="LS28" s="156"/>
      <c r="LT28" s="156"/>
      <c r="LU28" s="156"/>
      <c r="LV28" s="156"/>
      <c r="LW28" s="156"/>
      <c r="LX28" s="156"/>
      <c r="LY28" s="156"/>
      <c r="LZ28" s="156"/>
      <c r="MA28" s="156"/>
      <c r="MB28" s="156"/>
      <c r="MC28" s="156"/>
      <c r="MD28" s="156"/>
      <c r="ME28" s="156"/>
      <c r="MF28" s="156"/>
      <c r="MG28" s="156"/>
      <c r="MH28" s="156"/>
      <c r="MI28" s="156"/>
      <c r="MJ28" s="156"/>
      <c r="MK28" s="156"/>
      <c r="ML28" s="156"/>
      <c r="MM28" s="156"/>
      <c r="MN28" s="156"/>
      <c r="MO28" s="156"/>
      <c r="MP28" s="156"/>
      <c r="MQ28" s="156"/>
      <c r="MR28" s="156"/>
      <c r="MS28" s="156"/>
      <c r="MT28" s="156"/>
      <c r="MU28" s="156"/>
      <c r="MV28" s="156"/>
      <c r="MW28" s="156"/>
      <c r="MX28" s="156"/>
      <c r="MY28" s="156"/>
      <c r="MZ28" s="156"/>
      <c r="NA28" s="156"/>
      <c r="NB28" s="156"/>
      <c r="NC28" s="156"/>
      <c r="ND28" s="156"/>
      <c r="NE28" s="156"/>
      <c r="NF28" s="156"/>
      <c r="NG28" s="156"/>
      <c r="NH28" s="156"/>
      <c r="NI28" s="156"/>
      <c r="NJ28" s="156"/>
      <c r="NK28" s="156"/>
      <c r="NL28" s="156"/>
      <c r="NM28" s="156"/>
      <c r="NN28" s="156"/>
      <c r="NO28" s="156"/>
      <c r="NP28" s="156"/>
      <c r="NQ28" s="156"/>
      <c r="NR28" s="156"/>
      <c r="NS28" s="156"/>
      <c r="NT28" s="156"/>
      <c r="NU28" s="156"/>
      <c r="NV28" s="156"/>
      <c r="NW28" s="156"/>
      <c r="NX28" s="156"/>
      <c r="NY28" s="156"/>
      <c r="NZ28" s="156"/>
      <c r="OA28" s="156"/>
      <c r="OB28" s="156"/>
      <c r="OC28" s="156"/>
      <c r="OD28" s="156"/>
      <c r="OE28" s="156"/>
      <c r="OF28" s="156"/>
      <c r="OG28" s="156"/>
      <c r="OH28" s="156"/>
      <c r="OI28" s="156"/>
      <c r="OJ28" s="156"/>
      <c r="OK28" s="156"/>
      <c r="OL28" s="156"/>
      <c r="OM28" s="156"/>
      <c r="ON28" s="156"/>
      <c r="OO28" s="156"/>
      <c r="OP28" s="156"/>
      <c r="OQ28" s="156"/>
      <c r="OR28" s="156"/>
      <c r="OS28" s="156"/>
      <c r="OT28" s="156"/>
      <c r="OU28" s="156"/>
      <c r="OV28" s="156"/>
      <c r="OW28" s="156"/>
      <c r="OX28" s="156"/>
      <c r="OY28" s="156"/>
      <c r="OZ28" s="156"/>
      <c r="PA28" s="156"/>
      <c r="PB28" s="156"/>
      <c r="PC28" s="156"/>
      <c r="PD28" s="156"/>
      <c r="PE28" s="156"/>
      <c r="PF28" s="156"/>
      <c r="PG28" s="156"/>
      <c r="PH28" s="156"/>
      <c r="PI28" s="156"/>
      <c r="PJ28" s="156"/>
      <c r="PK28" s="156"/>
      <c r="PL28" s="156"/>
      <c r="PM28" s="156"/>
      <c r="PN28" s="156"/>
      <c r="PO28" s="156"/>
      <c r="PP28" s="156"/>
      <c r="PQ28" s="156"/>
      <c r="PR28" s="156"/>
      <c r="PS28" s="156"/>
      <c r="PT28" s="156"/>
      <c r="PU28" s="156"/>
      <c r="PV28" s="156"/>
      <c r="PW28" s="156"/>
      <c r="PX28" s="156"/>
      <c r="PY28" s="156"/>
      <c r="PZ28" s="156"/>
      <c r="QA28" s="156"/>
      <c r="QB28" s="156"/>
      <c r="QC28" s="156"/>
      <c r="QD28" s="156"/>
      <c r="QE28" s="156"/>
      <c r="QF28" s="156"/>
      <c r="QG28" s="156"/>
      <c r="QH28" s="156"/>
      <c r="QI28" s="156"/>
      <c r="QJ28" s="156"/>
      <c r="QK28" s="156"/>
      <c r="QL28" s="156"/>
      <c r="QM28" s="156"/>
      <c r="QN28" s="156"/>
      <c r="QO28" s="156"/>
      <c r="QP28" s="156"/>
      <c r="QQ28" s="156"/>
      <c r="QR28" s="156"/>
      <c r="QS28" s="156"/>
      <c r="QT28" s="156"/>
    </row>
    <row r="29" spans="1:462">
      <c r="A29" s="10"/>
      <c r="M29" s="626"/>
      <c r="N29" s="626"/>
      <c r="O29" s="626"/>
      <c r="P29" s="626"/>
      <c r="KM29" s="156"/>
      <c r="KN29" s="156"/>
      <c r="KO29" s="156"/>
      <c r="KP29" s="156"/>
      <c r="KR29" s="156"/>
      <c r="KS29" s="156"/>
      <c r="KT29" s="156"/>
      <c r="KU29" s="156"/>
      <c r="KV29" s="156"/>
      <c r="KW29" s="156"/>
      <c r="KX29" s="156"/>
      <c r="KY29" s="156"/>
      <c r="KZ29" s="156"/>
      <c r="LA29" s="156"/>
      <c r="LB29" s="156"/>
      <c r="LC29" s="156"/>
      <c r="LD29" s="156"/>
      <c r="LE29" s="156"/>
      <c r="LF29" s="156"/>
      <c r="LG29" s="156"/>
      <c r="LH29" s="156"/>
      <c r="LI29" s="156"/>
      <c r="LJ29" s="156"/>
      <c r="LK29" s="156"/>
      <c r="LL29" s="156"/>
      <c r="LM29" s="156"/>
      <c r="LN29" s="156"/>
      <c r="LO29" s="156"/>
      <c r="LP29" s="156"/>
      <c r="LQ29" s="156"/>
      <c r="LR29" s="156"/>
      <c r="LS29" s="156"/>
      <c r="LT29" s="156"/>
      <c r="LU29" s="156"/>
      <c r="LV29" s="156"/>
      <c r="LW29" s="156"/>
      <c r="LX29" s="156"/>
      <c r="LY29" s="156"/>
      <c r="LZ29" s="156"/>
      <c r="MA29" s="156"/>
      <c r="MB29" s="156"/>
      <c r="MC29" s="156"/>
      <c r="MD29" s="156"/>
      <c r="ME29" s="156"/>
      <c r="MF29" s="156"/>
      <c r="MG29" s="156"/>
      <c r="MH29" s="156"/>
      <c r="MI29" s="156"/>
      <c r="MJ29" s="156"/>
      <c r="MK29" s="156"/>
      <c r="ML29" s="156"/>
      <c r="MM29" s="156"/>
      <c r="MN29" s="156"/>
      <c r="MO29" s="156"/>
      <c r="MP29" s="156"/>
      <c r="MQ29" s="156"/>
      <c r="MR29" s="156"/>
      <c r="MS29" s="156"/>
      <c r="MT29" s="156"/>
      <c r="MU29" s="156"/>
      <c r="MV29" s="156"/>
      <c r="MW29" s="156"/>
      <c r="MX29" s="156"/>
      <c r="MY29" s="156"/>
      <c r="MZ29" s="156"/>
      <c r="NA29" s="156"/>
      <c r="NB29" s="156"/>
      <c r="NC29" s="156"/>
      <c r="ND29" s="156"/>
      <c r="NE29" s="156"/>
      <c r="NF29" s="156"/>
      <c r="NG29" s="156"/>
      <c r="NH29" s="156"/>
      <c r="NI29" s="156"/>
      <c r="NJ29" s="156"/>
      <c r="NK29" s="156"/>
      <c r="NL29" s="156"/>
      <c r="NM29" s="156"/>
      <c r="NN29" s="156"/>
      <c r="NO29" s="156"/>
      <c r="NP29" s="156"/>
      <c r="NQ29" s="156"/>
      <c r="NR29" s="156"/>
      <c r="NS29" s="156"/>
      <c r="NT29" s="156"/>
      <c r="NU29" s="156"/>
      <c r="NV29" s="156"/>
      <c r="NW29" s="156"/>
      <c r="NX29" s="156"/>
      <c r="NY29" s="156"/>
      <c r="NZ29" s="156"/>
      <c r="OA29" s="156"/>
      <c r="OB29" s="156"/>
      <c r="OC29" s="156"/>
      <c r="OD29" s="156"/>
      <c r="OE29" s="156"/>
      <c r="OF29" s="156"/>
      <c r="OG29" s="156"/>
      <c r="OH29" s="156"/>
      <c r="OI29" s="156"/>
      <c r="OJ29" s="156"/>
      <c r="OK29" s="156"/>
      <c r="OL29" s="156"/>
      <c r="OM29" s="156"/>
      <c r="ON29" s="156"/>
      <c r="OO29" s="156"/>
      <c r="OP29" s="156"/>
      <c r="OQ29" s="156"/>
      <c r="OR29" s="156"/>
      <c r="OS29" s="156"/>
      <c r="OT29" s="156"/>
      <c r="OU29" s="156"/>
      <c r="OV29" s="156"/>
      <c r="OW29" s="156"/>
      <c r="OX29" s="156"/>
      <c r="OY29" s="156"/>
      <c r="OZ29" s="156"/>
      <c r="PA29" s="156"/>
      <c r="PB29" s="156"/>
      <c r="PC29" s="156"/>
      <c r="PD29" s="156"/>
      <c r="PE29" s="156"/>
      <c r="PF29" s="156"/>
      <c r="PG29" s="156"/>
      <c r="PH29" s="156"/>
      <c r="PI29" s="156"/>
      <c r="PJ29" s="156"/>
      <c r="PK29" s="156"/>
      <c r="PL29" s="156"/>
      <c r="PM29" s="156"/>
      <c r="PN29" s="156"/>
      <c r="PO29" s="156"/>
      <c r="PP29" s="156"/>
      <c r="PQ29" s="156"/>
      <c r="PR29" s="156"/>
      <c r="PS29" s="156"/>
      <c r="PT29" s="156"/>
      <c r="PU29" s="156"/>
      <c r="PV29" s="156"/>
      <c r="PW29" s="156"/>
      <c r="PX29" s="156"/>
      <c r="PY29" s="156"/>
      <c r="PZ29" s="156"/>
      <c r="QA29" s="156"/>
      <c r="QB29" s="156"/>
      <c r="QC29" s="156"/>
      <c r="QD29" s="156"/>
      <c r="QE29" s="156"/>
      <c r="QF29" s="156"/>
      <c r="QG29" s="156"/>
      <c r="QH29" s="156"/>
      <c r="QI29" s="156"/>
      <c r="QJ29" s="156"/>
      <c r="QK29" s="156"/>
      <c r="QL29" s="156"/>
      <c r="QM29" s="156"/>
      <c r="QN29" s="156"/>
      <c r="QO29" s="156"/>
      <c r="QP29" s="156"/>
      <c r="QQ29" s="156"/>
      <c r="QR29" s="156"/>
      <c r="QS29" s="156"/>
      <c r="QT29" s="156"/>
    </row>
    <row r="30" spans="1:462">
      <c r="A30" s="10"/>
      <c r="M30" s="626"/>
      <c r="N30" s="626"/>
      <c r="O30" s="626"/>
      <c r="P30" s="626"/>
      <c r="KM30" s="156"/>
      <c r="KN30" s="156"/>
      <c r="KO30" s="156"/>
      <c r="KP30" s="156"/>
      <c r="KR30" s="156"/>
      <c r="KS30" s="156"/>
      <c r="KT30" s="156"/>
      <c r="KU30" s="156"/>
      <c r="KV30" s="156"/>
      <c r="KW30" s="156"/>
      <c r="KX30" s="156"/>
      <c r="KY30" s="156"/>
      <c r="KZ30" s="156"/>
      <c r="LA30" s="156"/>
      <c r="LB30" s="156"/>
      <c r="LC30" s="156"/>
      <c r="LD30" s="156"/>
      <c r="LE30" s="156"/>
      <c r="LF30" s="156"/>
      <c r="LG30" s="156"/>
      <c r="LH30" s="156"/>
      <c r="LI30" s="156"/>
      <c r="LJ30" s="156"/>
      <c r="LK30" s="156"/>
      <c r="LL30" s="156"/>
      <c r="LM30" s="156"/>
      <c r="LN30" s="156"/>
      <c r="LO30" s="156"/>
      <c r="LP30" s="156"/>
      <c r="LQ30" s="156"/>
      <c r="LR30" s="156"/>
      <c r="LS30" s="156"/>
      <c r="LT30" s="156"/>
      <c r="LU30" s="156"/>
      <c r="LV30" s="156"/>
      <c r="LW30" s="156"/>
      <c r="LX30" s="156"/>
      <c r="LY30" s="156"/>
      <c r="LZ30" s="156"/>
      <c r="MA30" s="156"/>
      <c r="MB30" s="156"/>
      <c r="MC30" s="156"/>
      <c r="MD30" s="156"/>
      <c r="ME30" s="156"/>
      <c r="MF30" s="156"/>
      <c r="MG30" s="156"/>
      <c r="MH30" s="156"/>
      <c r="MI30" s="156"/>
      <c r="MJ30" s="156"/>
      <c r="MK30" s="156"/>
      <c r="ML30" s="156"/>
      <c r="MM30" s="156"/>
      <c r="MN30" s="156"/>
      <c r="MO30" s="156"/>
      <c r="MP30" s="156"/>
      <c r="MQ30" s="156"/>
      <c r="MR30" s="156"/>
      <c r="MS30" s="156"/>
      <c r="MT30" s="156"/>
      <c r="MU30" s="156"/>
      <c r="MV30" s="156"/>
      <c r="MW30" s="156"/>
      <c r="MX30" s="156"/>
      <c r="MY30" s="156"/>
      <c r="MZ30" s="156"/>
      <c r="NA30" s="156"/>
      <c r="NB30" s="156"/>
      <c r="NC30" s="156"/>
      <c r="ND30" s="156"/>
      <c r="NE30" s="156"/>
      <c r="NF30" s="156"/>
      <c r="NG30" s="156"/>
      <c r="NH30" s="156"/>
      <c r="NI30" s="156"/>
      <c r="NJ30" s="156"/>
      <c r="NK30" s="156"/>
      <c r="NL30" s="156"/>
      <c r="NM30" s="156"/>
      <c r="NN30" s="156"/>
      <c r="NO30" s="156"/>
      <c r="NP30" s="156"/>
      <c r="NQ30" s="156"/>
      <c r="NR30" s="156"/>
      <c r="NS30" s="156"/>
      <c r="NT30" s="156"/>
      <c r="NU30" s="156"/>
      <c r="NV30" s="156"/>
      <c r="NW30" s="156"/>
      <c r="NX30" s="156"/>
      <c r="NY30" s="156"/>
      <c r="NZ30" s="156"/>
      <c r="OA30" s="156"/>
      <c r="OB30" s="156"/>
      <c r="OC30" s="156"/>
      <c r="OD30" s="156"/>
      <c r="OE30" s="156"/>
      <c r="OF30" s="156"/>
      <c r="OG30" s="156"/>
      <c r="OH30" s="156"/>
      <c r="OI30" s="156"/>
      <c r="OJ30" s="156"/>
      <c r="OK30" s="156"/>
      <c r="OL30" s="156"/>
      <c r="OM30" s="156"/>
      <c r="ON30" s="156"/>
      <c r="OO30" s="156"/>
      <c r="OP30" s="156"/>
      <c r="OQ30" s="156"/>
      <c r="OR30" s="156"/>
      <c r="OS30" s="156"/>
      <c r="OT30" s="156"/>
      <c r="OU30" s="156"/>
      <c r="OV30" s="156"/>
      <c r="OW30" s="156"/>
      <c r="OX30" s="156"/>
      <c r="OY30" s="156"/>
      <c r="OZ30" s="156"/>
      <c r="PA30" s="156"/>
      <c r="PB30" s="156"/>
      <c r="PC30" s="156"/>
      <c r="PD30" s="156"/>
      <c r="PE30" s="156"/>
      <c r="PF30" s="156"/>
      <c r="PG30" s="156"/>
      <c r="PH30" s="156"/>
      <c r="PI30" s="156"/>
      <c r="PJ30" s="156"/>
      <c r="PK30" s="156"/>
      <c r="PL30" s="156"/>
      <c r="PM30" s="156"/>
      <c r="PN30" s="156"/>
      <c r="PO30" s="156"/>
      <c r="PP30" s="156"/>
      <c r="PQ30" s="156"/>
      <c r="PR30" s="156"/>
      <c r="PS30" s="156"/>
      <c r="PT30" s="156"/>
      <c r="PU30" s="156"/>
      <c r="PV30" s="156"/>
      <c r="PW30" s="156"/>
      <c r="PX30" s="156"/>
      <c r="PY30" s="156"/>
      <c r="PZ30" s="156"/>
      <c r="QA30" s="156"/>
      <c r="QB30" s="156"/>
      <c r="QC30" s="156"/>
      <c r="QD30" s="156"/>
      <c r="QE30" s="156"/>
      <c r="QF30" s="156"/>
      <c r="QG30" s="156"/>
      <c r="QH30" s="156"/>
      <c r="QI30" s="156"/>
      <c r="QJ30" s="156"/>
      <c r="QK30" s="156"/>
      <c r="QL30" s="156"/>
      <c r="QM30" s="156"/>
      <c r="QN30" s="156"/>
      <c r="QO30" s="156"/>
      <c r="QP30" s="156"/>
      <c r="QQ30" s="156"/>
      <c r="QR30" s="156"/>
      <c r="QS30" s="156"/>
      <c r="QT30" s="156"/>
    </row>
    <row r="31" spans="1:462" ht="37.5">
      <c r="A31" s="10"/>
      <c r="M31" s="626"/>
      <c r="N31" s="626"/>
      <c r="O31" s="626"/>
      <c r="P31" s="626"/>
      <c r="KM31" s="156"/>
      <c r="KN31" s="156"/>
      <c r="KO31" s="156"/>
      <c r="KP31" s="156"/>
      <c r="KR31" s="156"/>
      <c r="KS31" s="156"/>
      <c r="KT31" s="156"/>
      <c r="KU31" s="156"/>
      <c r="KV31" s="156"/>
      <c r="KW31" s="156"/>
      <c r="KX31" s="156"/>
      <c r="KY31" s="156"/>
      <c r="KZ31" s="156"/>
      <c r="LA31" s="156"/>
      <c r="LB31" s="156"/>
      <c r="LC31" s="156"/>
      <c r="LD31" s="156"/>
      <c r="LE31" s="156"/>
      <c r="LF31" s="156"/>
      <c r="LG31" s="156"/>
      <c r="LH31" s="156"/>
      <c r="LI31" s="156"/>
      <c r="LJ31" s="156"/>
      <c r="LK31" s="156"/>
      <c r="LL31" s="156"/>
      <c r="LM31" s="156"/>
      <c r="LN31" s="156"/>
      <c r="LO31" s="156"/>
      <c r="LP31" s="156"/>
      <c r="LQ31" s="156"/>
      <c r="LR31" s="156"/>
      <c r="LS31" s="156"/>
      <c r="LT31" s="156"/>
      <c r="LU31" s="156"/>
      <c r="LV31" s="156"/>
      <c r="LW31" s="156"/>
      <c r="LX31" s="156"/>
      <c r="LY31" s="156"/>
      <c r="LZ31" s="156"/>
      <c r="MA31" s="156"/>
      <c r="MB31" s="156"/>
      <c r="MC31" s="156"/>
      <c r="MD31" s="156"/>
      <c r="ME31" s="156"/>
      <c r="MF31" s="156"/>
      <c r="MG31" s="156"/>
      <c r="MH31" s="156"/>
      <c r="MI31" s="156"/>
      <c r="MJ31" s="156"/>
      <c r="MK31" s="156"/>
      <c r="ML31" s="156"/>
      <c r="MM31" s="156"/>
      <c r="MN31" s="156"/>
      <c r="MO31" s="156"/>
      <c r="MP31" s="156"/>
      <c r="MQ31" s="156"/>
      <c r="MR31" s="156"/>
      <c r="MS31" s="156"/>
      <c r="MT31" s="156"/>
      <c r="MU31" s="156"/>
      <c r="MV31" s="156"/>
      <c r="MW31" s="156"/>
      <c r="MX31" s="156"/>
      <c r="MY31" s="156"/>
      <c r="MZ31" s="156"/>
      <c r="NA31" s="156"/>
      <c r="NB31" s="156"/>
      <c r="NC31" s="156"/>
      <c r="ND31" s="156"/>
      <c r="NE31" s="156"/>
      <c r="NF31" s="156"/>
      <c r="NG31" s="156"/>
      <c r="NH31" s="156"/>
      <c r="NI31" s="156"/>
      <c r="NJ31" s="156"/>
      <c r="NK31" s="156"/>
      <c r="NL31" s="156"/>
      <c r="NM31" s="156"/>
      <c r="NN31" s="156"/>
      <c r="NO31" s="156"/>
      <c r="NP31" s="156"/>
      <c r="NQ31" s="156"/>
      <c r="NR31" s="156"/>
      <c r="NS31" s="156"/>
      <c r="NT31" s="156"/>
      <c r="NU31" s="156"/>
      <c r="NV31" s="156"/>
      <c r="NW31" s="156"/>
      <c r="NX31" s="156"/>
      <c r="NY31" s="156"/>
      <c r="NZ31" s="156"/>
      <c r="OA31" s="156"/>
      <c r="OB31" s="156"/>
      <c r="OC31" s="156"/>
      <c r="OD31" s="156"/>
      <c r="OE31" s="156"/>
      <c r="OF31" s="156"/>
      <c r="OG31" s="156"/>
      <c r="OH31" s="156"/>
      <c r="OI31" s="156"/>
      <c r="OJ31" s="156"/>
      <c r="OK31" s="156"/>
      <c r="OL31" s="156"/>
      <c r="OM31" s="156"/>
      <c r="ON31" s="177" t="s">
        <v>370</v>
      </c>
      <c r="OO31" s="159" t="s">
        <v>180</v>
      </c>
      <c r="OP31" s="159" t="s">
        <v>91</v>
      </c>
      <c r="OQ31" s="159" t="s">
        <v>92</v>
      </c>
      <c r="OR31" s="159" t="s">
        <v>177</v>
      </c>
      <c r="OS31" s="156"/>
      <c r="OT31" s="159" t="s">
        <v>185</v>
      </c>
      <c r="OU31" s="159" t="s">
        <v>186</v>
      </c>
      <c r="OV31" s="159" t="s">
        <v>187</v>
      </c>
      <c r="OW31" s="159" t="s">
        <v>189</v>
      </c>
      <c r="OX31" s="156"/>
      <c r="OY31" s="159" t="s">
        <v>191</v>
      </c>
      <c r="OZ31" s="159" t="s">
        <v>97</v>
      </c>
      <c r="PA31" s="159" t="s">
        <v>98</v>
      </c>
      <c r="PB31" s="159" t="s">
        <v>194</v>
      </c>
      <c r="PC31" s="156"/>
      <c r="PD31" s="156"/>
      <c r="PE31" s="156"/>
      <c r="PF31" s="156"/>
      <c r="PG31" s="156"/>
      <c r="PH31" s="156"/>
      <c r="PI31" s="156"/>
      <c r="PJ31" s="156"/>
      <c r="PK31" s="156"/>
      <c r="PL31" s="156"/>
      <c r="PM31" s="156"/>
      <c r="PN31" s="156"/>
      <c r="PO31" s="156"/>
      <c r="PP31" s="156"/>
      <c r="PQ31" s="156"/>
      <c r="PR31" s="156"/>
      <c r="PS31" s="156"/>
      <c r="PT31" s="156"/>
      <c r="PU31" s="156"/>
      <c r="PV31" s="156"/>
      <c r="PW31" s="156"/>
      <c r="PX31" s="156"/>
      <c r="PY31" s="156"/>
      <c r="PZ31" s="156"/>
      <c r="QA31" s="156"/>
      <c r="QB31" s="156"/>
      <c r="QC31" s="156"/>
      <c r="QD31" s="156"/>
      <c r="QE31" s="156"/>
      <c r="QF31" s="156"/>
      <c r="QG31" s="156"/>
      <c r="QH31" s="156"/>
      <c r="QI31" s="156"/>
      <c r="QJ31" s="156"/>
      <c r="QK31" s="156"/>
      <c r="QL31" s="156"/>
      <c r="QM31" s="156"/>
      <c r="QN31" s="156"/>
      <c r="QO31" s="156"/>
      <c r="QP31" s="156"/>
      <c r="QQ31" s="156"/>
      <c r="QR31" s="156"/>
      <c r="QS31" s="156"/>
      <c r="QT31" s="156"/>
    </row>
    <row r="32" spans="1:462">
      <c r="A32" s="10"/>
      <c r="M32" s="626"/>
      <c r="N32" s="626"/>
      <c r="O32" s="626"/>
      <c r="P32" s="626"/>
      <c r="KM32" s="156"/>
      <c r="KN32" s="156"/>
      <c r="KO32" s="156"/>
      <c r="KP32" s="156"/>
      <c r="KR32" s="156"/>
      <c r="KS32" s="156"/>
      <c r="KT32" s="156"/>
      <c r="KU32" s="156"/>
      <c r="KV32" s="156"/>
      <c r="KW32" s="156"/>
      <c r="KX32" s="156"/>
      <c r="KY32" s="156"/>
      <c r="KZ32" s="156"/>
      <c r="LA32" s="156"/>
      <c r="LB32" s="156"/>
      <c r="LC32" s="156"/>
      <c r="LD32" s="156"/>
      <c r="LE32" s="156"/>
      <c r="LF32" s="156"/>
      <c r="LG32" s="156"/>
      <c r="LH32" s="156"/>
      <c r="LI32" s="156"/>
      <c r="LJ32" s="156"/>
      <c r="LK32" s="156"/>
      <c r="LL32" s="156"/>
      <c r="LM32" s="156"/>
      <c r="LN32" s="156"/>
      <c r="LO32" s="156"/>
      <c r="LP32" s="156"/>
      <c r="LQ32" s="156"/>
      <c r="LR32" s="156"/>
      <c r="LS32" s="156"/>
      <c r="LT32" s="156"/>
      <c r="LU32" s="156"/>
      <c r="LV32" s="156"/>
      <c r="LW32" s="156"/>
      <c r="LX32" s="156"/>
      <c r="LY32" s="156"/>
      <c r="LZ32" s="156"/>
      <c r="MA32" s="156"/>
      <c r="MB32" s="156"/>
      <c r="MC32" s="156"/>
      <c r="MD32" s="156"/>
      <c r="ME32" s="156"/>
      <c r="MF32" s="156"/>
      <c r="MG32" s="156"/>
      <c r="MH32" s="156"/>
      <c r="MI32" s="156"/>
      <c r="MJ32" s="156"/>
      <c r="MK32" s="156"/>
      <c r="ML32" s="156"/>
      <c r="MM32" s="156"/>
      <c r="MN32" s="156"/>
      <c r="MO32" s="156"/>
      <c r="MP32" s="156"/>
      <c r="MQ32" s="156"/>
      <c r="MR32" s="156"/>
      <c r="MS32" s="156"/>
      <c r="MT32" s="156"/>
      <c r="MU32" s="156"/>
      <c r="MV32" s="156"/>
      <c r="MW32" s="156"/>
      <c r="MX32" s="156"/>
      <c r="MY32" s="156"/>
      <c r="MZ32" s="156"/>
      <c r="NA32" s="156"/>
      <c r="NB32" s="156"/>
      <c r="NC32" s="156"/>
      <c r="ND32" s="156"/>
      <c r="NE32" s="156"/>
      <c r="NF32" s="156"/>
      <c r="NG32" s="156"/>
      <c r="NH32" s="156"/>
      <c r="NI32" s="156"/>
      <c r="NJ32" s="156"/>
      <c r="NK32" s="156"/>
      <c r="NL32" s="156"/>
      <c r="NM32" s="156"/>
      <c r="NN32" s="156"/>
      <c r="NO32" s="156"/>
      <c r="NP32" s="156"/>
      <c r="NQ32" s="156"/>
      <c r="NR32" s="156"/>
      <c r="NS32" s="156"/>
      <c r="NT32" s="156"/>
      <c r="NU32" s="156"/>
      <c r="NV32" s="156"/>
      <c r="NW32" s="156"/>
      <c r="NX32" s="156"/>
      <c r="NY32" s="156"/>
      <c r="NZ32" s="156"/>
      <c r="OA32" s="156"/>
      <c r="OB32" s="156"/>
      <c r="OC32" s="156"/>
      <c r="OD32" s="156"/>
      <c r="OE32" s="156"/>
      <c r="OF32" s="156"/>
      <c r="OG32" s="156"/>
      <c r="OH32" s="156"/>
      <c r="OI32" s="156"/>
      <c r="OJ32" s="156"/>
      <c r="OK32" s="156"/>
      <c r="OL32" s="156"/>
      <c r="OM32" s="156"/>
      <c r="ON32" s="163" t="s">
        <v>79</v>
      </c>
      <c r="OO32" s="161">
        <v>323181</v>
      </c>
      <c r="OP32" s="161">
        <v>14932</v>
      </c>
      <c r="OQ32" s="161">
        <v>-12176</v>
      </c>
      <c r="OR32" s="161">
        <v>1742510</v>
      </c>
      <c r="OS32" s="156"/>
      <c r="OT32" s="161">
        <v>341431</v>
      </c>
      <c r="OU32" s="161">
        <v>55306</v>
      </c>
      <c r="OV32" s="161">
        <v>29132</v>
      </c>
      <c r="OW32" s="161">
        <v>1666780</v>
      </c>
      <c r="OX32" s="156"/>
      <c r="OY32" s="161">
        <v>281247</v>
      </c>
      <c r="OZ32" s="161">
        <v>8471</v>
      </c>
      <c r="PA32" s="161">
        <v>-16826</v>
      </c>
      <c r="PB32" s="161">
        <v>1640587</v>
      </c>
      <c r="PC32" s="156"/>
      <c r="PD32" s="156"/>
      <c r="PE32" s="156"/>
      <c r="PF32" s="156"/>
      <c r="PG32" s="156"/>
      <c r="PH32" s="156"/>
      <c r="PI32" s="156"/>
      <c r="PJ32" s="156"/>
      <c r="PK32" s="156"/>
      <c r="PL32" s="156"/>
      <c r="PM32" s="156"/>
      <c r="PN32" s="156"/>
      <c r="PO32" s="156"/>
      <c r="PP32" s="156"/>
      <c r="PQ32" s="156"/>
      <c r="PR32" s="156"/>
      <c r="PS32" s="156"/>
      <c r="PT32" s="156"/>
      <c r="PU32" s="156"/>
      <c r="PV32" s="156"/>
      <c r="PW32" s="156"/>
      <c r="PX32" s="156"/>
      <c r="PY32" s="156"/>
      <c r="PZ32" s="156"/>
      <c r="QA32" s="156"/>
      <c r="QB32" s="156"/>
      <c r="QC32" s="156"/>
      <c r="QD32" s="156"/>
      <c r="QE32" s="156"/>
      <c r="QF32" s="156"/>
      <c r="QG32" s="156"/>
      <c r="QH32" s="156"/>
      <c r="QI32" s="156"/>
      <c r="QJ32" s="156"/>
      <c r="QK32" s="156"/>
      <c r="QL32" s="156"/>
      <c r="QM32" s="156"/>
      <c r="QN32" s="156"/>
      <c r="QO32" s="156"/>
      <c r="QP32" s="156"/>
      <c r="QQ32" s="156"/>
      <c r="QR32" s="156"/>
      <c r="QS32" s="156"/>
      <c r="QT32" s="156"/>
    </row>
    <row r="33" spans="1:462">
      <c r="A33" s="10"/>
      <c r="M33" s="626"/>
      <c r="N33" s="626"/>
      <c r="O33" s="626"/>
      <c r="P33" s="626"/>
      <c r="KM33" s="156"/>
      <c r="KN33" s="156"/>
      <c r="KO33" s="156"/>
      <c r="KP33" s="156"/>
      <c r="KR33" s="156"/>
      <c r="KS33" s="156"/>
      <c r="KT33" s="156"/>
      <c r="KU33" s="156"/>
      <c r="KV33" s="156"/>
      <c r="KW33" s="156"/>
      <c r="KX33" s="156"/>
      <c r="KY33" s="156"/>
      <c r="KZ33" s="156"/>
      <c r="LA33" s="156"/>
      <c r="LB33" s="156"/>
      <c r="LC33" s="156"/>
      <c r="LD33" s="156"/>
      <c r="LE33" s="156"/>
      <c r="LF33" s="156"/>
      <c r="LG33" s="156"/>
      <c r="LH33" s="156"/>
      <c r="LI33" s="156"/>
      <c r="LJ33" s="156"/>
      <c r="LK33" s="156"/>
      <c r="LL33" s="156"/>
      <c r="LM33" s="156"/>
      <c r="LN33" s="156"/>
      <c r="LO33" s="156"/>
      <c r="LP33" s="156"/>
      <c r="LQ33" s="156"/>
      <c r="LR33" s="156"/>
      <c r="LS33" s="156"/>
      <c r="LT33" s="156"/>
      <c r="LU33" s="156"/>
      <c r="LV33" s="156"/>
      <c r="LW33" s="156"/>
      <c r="LX33" s="156"/>
      <c r="LY33" s="156"/>
      <c r="LZ33" s="156"/>
      <c r="MA33" s="156"/>
      <c r="MB33" s="156"/>
      <c r="MC33" s="156"/>
      <c r="MD33" s="156"/>
      <c r="ME33" s="156"/>
      <c r="MF33" s="156"/>
      <c r="MG33" s="156"/>
      <c r="MH33" s="156"/>
      <c r="MI33" s="156"/>
      <c r="MJ33" s="156"/>
      <c r="MK33" s="156"/>
      <c r="ML33" s="156"/>
      <c r="MM33" s="156"/>
      <c r="MN33" s="156"/>
      <c r="MO33" s="156"/>
      <c r="MP33" s="156"/>
      <c r="MQ33" s="156"/>
      <c r="MR33" s="156"/>
      <c r="MS33" s="156"/>
      <c r="MT33" s="156"/>
      <c r="MU33" s="156"/>
      <c r="MV33" s="156"/>
      <c r="MW33" s="156"/>
      <c r="MX33" s="156"/>
      <c r="MY33" s="156"/>
      <c r="MZ33" s="156"/>
      <c r="NA33" s="156"/>
      <c r="NB33" s="156"/>
      <c r="NC33" s="156"/>
      <c r="ND33" s="156"/>
      <c r="NE33" s="156"/>
      <c r="NF33" s="156"/>
      <c r="NG33" s="156"/>
      <c r="NH33" s="156"/>
      <c r="NI33" s="156"/>
      <c r="NJ33" s="156"/>
      <c r="NK33" s="156"/>
      <c r="NL33" s="156"/>
      <c r="NM33" s="156"/>
      <c r="NN33" s="156"/>
      <c r="NO33" s="156"/>
      <c r="NP33" s="156"/>
      <c r="NQ33" s="156"/>
      <c r="NR33" s="156"/>
      <c r="NS33" s="156"/>
      <c r="NT33" s="156"/>
      <c r="NU33" s="156"/>
      <c r="NV33" s="156"/>
      <c r="NW33" s="156"/>
      <c r="NX33" s="156"/>
      <c r="NY33" s="156"/>
      <c r="NZ33" s="156"/>
      <c r="OA33" s="156"/>
      <c r="OB33" s="156"/>
      <c r="OC33" s="156"/>
      <c r="OD33" s="156"/>
      <c r="OE33" s="156"/>
      <c r="OF33" s="156"/>
      <c r="OG33" s="156"/>
      <c r="OH33" s="156"/>
      <c r="OI33" s="156"/>
      <c r="OJ33" s="156"/>
      <c r="OK33" s="156"/>
      <c r="OL33" s="156"/>
      <c r="OM33" s="156"/>
      <c r="ON33" s="162" t="s">
        <v>80</v>
      </c>
      <c r="OO33" s="155">
        <v>913384</v>
      </c>
      <c r="OP33" s="155">
        <v>51694</v>
      </c>
      <c r="OQ33" s="155">
        <v>-34993</v>
      </c>
      <c r="OR33" s="179">
        <v>8393127</v>
      </c>
      <c r="OS33" s="156"/>
      <c r="OT33" s="155">
        <v>832114</v>
      </c>
      <c r="OU33" s="155">
        <v>73153</v>
      </c>
      <c r="OV33" s="155">
        <v>-43546</v>
      </c>
      <c r="OW33" s="179">
        <v>7636136</v>
      </c>
      <c r="OX33" s="156"/>
      <c r="OY33" s="155">
        <v>716925</v>
      </c>
      <c r="OZ33" s="155">
        <v>59507</v>
      </c>
      <c r="PA33" s="155">
        <v>-58572</v>
      </c>
      <c r="PB33" s="179">
        <v>7741435</v>
      </c>
      <c r="PC33" s="156"/>
      <c r="PD33" s="156"/>
      <c r="PE33" s="156"/>
      <c r="PF33" s="156"/>
      <c r="PG33" s="156"/>
      <c r="PH33" s="156"/>
      <c r="PI33" s="156"/>
      <c r="PJ33" s="156"/>
      <c r="PK33" s="156"/>
      <c r="PL33" s="156"/>
      <c r="PM33" s="156"/>
      <c r="PN33" s="156"/>
      <c r="PO33" s="156"/>
      <c r="PP33" s="156"/>
      <c r="PQ33" s="156"/>
      <c r="PR33" s="156"/>
      <c r="PS33" s="156"/>
      <c r="PT33" s="156"/>
      <c r="PU33" s="156"/>
      <c r="PV33" s="156"/>
      <c r="PW33" s="156"/>
      <c r="PX33" s="156"/>
      <c r="PY33" s="156"/>
      <c r="PZ33" s="156"/>
      <c r="QA33" s="156"/>
      <c r="QB33" s="156"/>
      <c r="QC33" s="156"/>
      <c r="QD33" s="156"/>
      <c r="QE33" s="156"/>
      <c r="QF33" s="156"/>
      <c r="QG33" s="156"/>
      <c r="QH33" s="156"/>
      <c r="QI33" s="156"/>
      <c r="QJ33" s="156"/>
      <c r="QK33" s="156"/>
      <c r="QL33" s="156"/>
      <c r="QM33" s="156"/>
      <c r="QN33" s="156"/>
      <c r="QO33" s="156"/>
      <c r="QP33" s="156"/>
      <c r="QQ33" s="156"/>
      <c r="QR33" s="156"/>
      <c r="QS33" s="156"/>
      <c r="QT33" s="156"/>
    </row>
    <row r="34" spans="1:462">
      <c r="A34" s="10"/>
      <c r="KM34" s="156"/>
      <c r="KN34" s="156"/>
      <c r="KO34" s="156"/>
      <c r="KP34" s="156"/>
      <c r="KR34" s="156"/>
      <c r="KS34" s="156"/>
      <c r="KT34" s="156"/>
      <c r="KU34" s="156"/>
      <c r="KV34" s="156"/>
      <c r="KW34" s="156"/>
      <c r="KX34" s="156"/>
      <c r="KY34" s="156"/>
      <c r="KZ34" s="156"/>
      <c r="LA34" s="156"/>
      <c r="LB34" s="156"/>
      <c r="LC34" s="156"/>
      <c r="LD34" s="156"/>
      <c r="LE34" s="156"/>
      <c r="LF34" s="156"/>
      <c r="LG34" s="156"/>
      <c r="LH34" s="156"/>
      <c r="LI34" s="156"/>
      <c r="LJ34" s="156"/>
      <c r="LK34" s="156"/>
      <c r="LL34" s="156"/>
      <c r="LM34" s="156"/>
      <c r="LN34" s="156"/>
      <c r="LO34" s="156"/>
      <c r="LP34" s="156"/>
      <c r="LQ34" s="156"/>
      <c r="LR34" s="156"/>
      <c r="LS34" s="156"/>
      <c r="LT34" s="156"/>
      <c r="LU34" s="156"/>
      <c r="LV34" s="156"/>
      <c r="LW34" s="156"/>
      <c r="LX34" s="156"/>
      <c r="LY34" s="156"/>
      <c r="LZ34" s="156"/>
      <c r="MA34" s="156"/>
      <c r="MB34" s="156"/>
      <c r="MC34" s="156"/>
      <c r="MD34" s="156"/>
      <c r="ME34" s="156"/>
      <c r="MF34" s="156"/>
      <c r="MG34" s="156"/>
      <c r="MH34" s="156"/>
      <c r="MI34" s="156"/>
      <c r="MJ34" s="156"/>
      <c r="MK34" s="156"/>
      <c r="ML34" s="156"/>
      <c r="MM34" s="156"/>
      <c r="MN34" s="156"/>
      <c r="MO34" s="156"/>
      <c r="MP34" s="156"/>
      <c r="MQ34" s="156"/>
      <c r="MR34" s="156"/>
      <c r="MS34" s="156"/>
      <c r="MT34" s="156"/>
      <c r="MU34" s="156"/>
      <c r="MV34" s="156"/>
      <c r="MW34" s="156"/>
      <c r="MX34" s="156"/>
      <c r="MY34" s="156"/>
      <c r="MZ34" s="156"/>
      <c r="NA34" s="156"/>
      <c r="NB34" s="156"/>
      <c r="NC34" s="156"/>
      <c r="ND34" s="156"/>
      <c r="NE34" s="156"/>
      <c r="NF34" s="156"/>
      <c r="NG34" s="156"/>
      <c r="NH34" s="156"/>
      <c r="NI34" s="156"/>
      <c r="NJ34" s="156"/>
      <c r="NK34" s="156"/>
      <c r="NL34" s="156"/>
      <c r="NM34" s="156"/>
      <c r="NN34" s="156"/>
      <c r="NO34" s="156"/>
      <c r="NP34" s="156"/>
      <c r="NQ34" s="156"/>
      <c r="NR34" s="156"/>
      <c r="NS34" s="156"/>
      <c r="NT34" s="156"/>
      <c r="NU34" s="156"/>
      <c r="NV34" s="156"/>
      <c r="NW34" s="156"/>
      <c r="NX34" s="156"/>
      <c r="NY34" s="156"/>
      <c r="NZ34" s="156"/>
      <c r="OA34" s="156"/>
      <c r="OB34" s="156"/>
      <c r="OC34" s="156"/>
      <c r="OD34" s="156"/>
      <c r="OE34" s="156"/>
      <c r="OF34" s="156"/>
      <c r="OG34" s="156"/>
      <c r="OH34" s="156"/>
      <c r="OI34" s="156"/>
      <c r="OJ34" s="156"/>
      <c r="OK34" s="156"/>
      <c r="OL34" s="156"/>
      <c r="OM34" s="156"/>
      <c r="ON34" s="162" t="s">
        <v>81</v>
      </c>
      <c r="OO34" s="155">
        <v>65019</v>
      </c>
      <c r="OP34" s="155">
        <v>37748</v>
      </c>
      <c r="OQ34" s="155">
        <v>20234</v>
      </c>
      <c r="OR34" s="179">
        <v>1985920</v>
      </c>
      <c r="OS34" s="156"/>
      <c r="OT34" s="155">
        <v>71079</v>
      </c>
      <c r="OU34" s="155">
        <v>45702</v>
      </c>
      <c r="OV34" s="155">
        <v>25694</v>
      </c>
      <c r="OW34" s="179">
        <v>1929270</v>
      </c>
      <c r="OX34" s="156"/>
      <c r="OY34" s="155">
        <v>64784</v>
      </c>
      <c r="OZ34" s="155">
        <v>40730</v>
      </c>
      <c r="PA34" s="155">
        <v>20707</v>
      </c>
      <c r="PB34" s="179">
        <v>1929486</v>
      </c>
      <c r="PC34" s="156"/>
      <c r="PD34" s="156"/>
      <c r="PE34" s="156"/>
      <c r="PF34" s="156"/>
      <c r="PG34" s="156"/>
      <c r="PH34" s="156"/>
      <c r="PI34" s="156"/>
      <c r="PJ34" s="156"/>
      <c r="PK34" s="156"/>
      <c r="PL34" s="156"/>
      <c r="PM34" s="156"/>
      <c r="PN34" s="156"/>
      <c r="PO34" s="156"/>
      <c r="PP34" s="156"/>
      <c r="PQ34" s="156"/>
      <c r="PR34" s="156"/>
      <c r="PS34" s="156"/>
      <c r="PT34" s="156"/>
      <c r="PU34" s="156"/>
      <c r="PV34" s="156"/>
      <c r="PW34" s="156"/>
      <c r="PX34" s="156"/>
      <c r="PY34" s="156"/>
      <c r="PZ34" s="156"/>
      <c r="QA34" s="156"/>
      <c r="QB34" s="156"/>
      <c r="QC34" s="156"/>
      <c r="QD34" s="156"/>
      <c r="QE34" s="156"/>
      <c r="QF34" s="156"/>
      <c r="QG34" s="156"/>
      <c r="QH34" s="156"/>
      <c r="QI34" s="156"/>
      <c r="QJ34" s="156"/>
      <c r="QK34" s="156"/>
      <c r="QL34" s="156"/>
      <c r="QM34" s="156"/>
      <c r="QN34" s="156"/>
      <c r="QO34" s="156"/>
      <c r="QP34" s="156"/>
      <c r="QQ34" s="156"/>
      <c r="QR34" s="156"/>
      <c r="QS34" s="156"/>
      <c r="QT34" s="156"/>
    </row>
    <row r="35" spans="1:462">
      <c r="A35" s="10"/>
      <c r="KM35" s="156"/>
      <c r="KN35" s="156"/>
      <c r="KO35" s="156"/>
      <c r="KP35" s="156"/>
      <c r="KR35" s="156"/>
      <c r="KS35" s="156"/>
      <c r="KT35" s="156"/>
      <c r="KU35" s="156"/>
      <c r="KV35" s="156"/>
      <c r="KW35" s="156"/>
      <c r="KX35" s="156"/>
      <c r="KY35" s="156"/>
      <c r="KZ35" s="156"/>
      <c r="LA35" s="156"/>
      <c r="LB35" s="156"/>
      <c r="LC35" s="156"/>
      <c r="LD35" s="156"/>
      <c r="LE35" s="156"/>
      <c r="LF35" s="156"/>
      <c r="LG35" s="156"/>
      <c r="LH35" s="156"/>
      <c r="LI35" s="156"/>
      <c r="LJ35" s="156"/>
      <c r="LK35" s="156"/>
      <c r="LL35" s="156"/>
      <c r="LM35" s="156"/>
      <c r="LN35" s="156"/>
      <c r="LO35" s="156"/>
      <c r="LP35" s="156"/>
      <c r="LQ35" s="156"/>
      <c r="LR35" s="156"/>
      <c r="LS35" s="156"/>
      <c r="LT35" s="156"/>
      <c r="LU35" s="156"/>
      <c r="LV35" s="156"/>
      <c r="LW35" s="156"/>
      <c r="LX35" s="156"/>
      <c r="LY35" s="156"/>
      <c r="LZ35" s="156"/>
      <c r="MA35" s="156"/>
      <c r="MB35" s="156"/>
      <c r="MC35" s="156"/>
      <c r="MD35" s="156"/>
      <c r="ME35" s="156"/>
      <c r="MF35" s="156"/>
      <c r="MG35" s="156"/>
      <c r="MH35" s="156"/>
      <c r="MI35" s="156"/>
      <c r="MJ35" s="156"/>
      <c r="MK35" s="156"/>
      <c r="ML35" s="156"/>
      <c r="MM35" s="156"/>
      <c r="MN35" s="156"/>
      <c r="MO35" s="156"/>
      <c r="MP35" s="156"/>
      <c r="MQ35" s="156"/>
      <c r="MR35" s="156"/>
      <c r="MS35" s="156"/>
      <c r="MT35" s="156"/>
      <c r="MU35" s="156"/>
      <c r="MV35" s="156"/>
      <c r="MW35" s="156"/>
      <c r="MX35" s="156"/>
      <c r="MY35" s="156"/>
      <c r="MZ35" s="156"/>
      <c r="NA35" s="156"/>
      <c r="NB35" s="156"/>
      <c r="NC35" s="156"/>
      <c r="ND35" s="156"/>
      <c r="NE35" s="156"/>
      <c r="NF35" s="156"/>
      <c r="NG35" s="156"/>
      <c r="NH35" s="156"/>
      <c r="NI35" s="156"/>
      <c r="NJ35" s="156"/>
      <c r="NK35" s="156"/>
      <c r="NL35" s="156"/>
      <c r="NM35" s="156"/>
      <c r="NN35" s="156"/>
      <c r="NO35" s="156"/>
      <c r="NP35" s="156"/>
      <c r="NQ35" s="156"/>
      <c r="NR35" s="156"/>
      <c r="NS35" s="156"/>
      <c r="NT35" s="156"/>
      <c r="NU35" s="156"/>
      <c r="NV35" s="156"/>
      <c r="NW35" s="156"/>
      <c r="NX35" s="156"/>
      <c r="NY35" s="156"/>
      <c r="NZ35" s="156"/>
      <c r="OA35" s="156"/>
      <c r="OB35" s="156"/>
      <c r="OC35" s="156"/>
      <c r="OD35" s="156"/>
      <c r="OE35" s="156"/>
      <c r="OF35" s="156"/>
      <c r="OG35" s="156"/>
      <c r="OH35" s="156"/>
      <c r="OI35" s="156"/>
      <c r="OJ35" s="156"/>
      <c r="OK35" s="156"/>
      <c r="OL35" s="156"/>
      <c r="OM35" s="156"/>
      <c r="ON35" s="162" t="s">
        <v>82</v>
      </c>
      <c r="OO35" s="155">
        <v>388456</v>
      </c>
      <c r="OP35" s="155">
        <v>126605</v>
      </c>
      <c r="OQ35" s="155">
        <v>87607</v>
      </c>
      <c r="OR35" s="155">
        <v>2781001</v>
      </c>
      <c r="OS35" s="156"/>
      <c r="OT35" s="155">
        <v>249121</v>
      </c>
      <c r="OU35" s="155">
        <v>16576</v>
      </c>
      <c r="OV35" s="155">
        <v>-21324</v>
      </c>
      <c r="OW35" s="155">
        <v>3101958</v>
      </c>
      <c r="OX35" s="156"/>
      <c r="OY35" s="155">
        <v>291077</v>
      </c>
      <c r="OZ35" s="155">
        <v>36257</v>
      </c>
      <c r="PA35" s="155">
        <v>-325</v>
      </c>
      <c r="PB35" s="155">
        <v>2962505</v>
      </c>
      <c r="PC35" s="156"/>
      <c r="PD35" s="156"/>
      <c r="PE35" s="156"/>
      <c r="PF35" s="156"/>
      <c r="PG35" s="156"/>
      <c r="PH35" s="156"/>
      <c r="PI35" s="156"/>
      <c r="PJ35" s="156"/>
      <c r="PK35" s="156"/>
      <c r="PL35" s="156"/>
      <c r="PM35" s="156"/>
      <c r="PN35" s="156"/>
      <c r="PO35" s="156"/>
      <c r="PP35" s="156"/>
      <c r="PQ35" s="156"/>
      <c r="PR35" s="156"/>
      <c r="PS35" s="156"/>
      <c r="PT35" s="156"/>
      <c r="PU35" s="156"/>
      <c r="PV35" s="156"/>
      <c r="PW35" s="156"/>
      <c r="PX35" s="156"/>
      <c r="PY35" s="156"/>
      <c r="PZ35" s="156"/>
      <c r="QA35" s="156"/>
      <c r="QB35" s="156"/>
      <c r="QC35" s="156"/>
      <c r="QD35" s="156"/>
      <c r="QE35" s="156"/>
      <c r="QF35" s="156"/>
      <c r="QG35" s="156"/>
      <c r="QH35" s="156"/>
      <c r="QI35" s="156"/>
      <c r="QJ35" s="156"/>
      <c r="QK35" s="156"/>
      <c r="QL35" s="156"/>
      <c r="QM35" s="156"/>
      <c r="QN35" s="156"/>
      <c r="QO35" s="156"/>
      <c r="QP35" s="156"/>
      <c r="QQ35" s="156"/>
      <c r="QR35" s="156"/>
      <c r="QS35" s="156"/>
      <c r="QT35" s="156"/>
    </row>
    <row r="36" spans="1:462">
      <c r="A36" s="10"/>
      <c r="KM36" s="156"/>
      <c r="KN36" s="156"/>
      <c r="KO36" s="156"/>
      <c r="KP36" s="156"/>
      <c r="KR36" s="156"/>
      <c r="KS36" s="156"/>
      <c r="KT36" s="156"/>
      <c r="KU36" s="156"/>
      <c r="KV36" s="156"/>
      <c r="KW36" s="156"/>
      <c r="KX36" s="156"/>
      <c r="KY36" s="156"/>
      <c r="KZ36" s="156"/>
      <c r="LA36" s="156"/>
      <c r="LB36" s="156"/>
      <c r="LC36" s="156"/>
      <c r="LD36" s="156"/>
      <c r="LE36" s="156"/>
      <c r="LF36" s="156"/>
      <c r="LG36" s="156"/>
      <c r="LH36" s="156"/>
      <c r="LI36" s="156"/>
      <c r="LJ36" s="156"/>
      <c r="LK36" s="156"/>
      <c r="LL36" s="156"/>
      <c r="LM36" s="156"/>
      <c r="LN36" s="156"/>
      <c r="LO36" s="156"/>
      <c r="LP36" s="156"/>
      <c r="LQ36" s="156"/>
      <c r="LR36" s="156"/>
      <c r="LS36" s="156"/>
      <c r="LT36" s="156"/>
      <c r="LU36" s="156"/>
      <c r="LV36" s="156"/>
      <c r="LW36" s="156"/>
      <c r="LX36" s="156"/>
      <c r="LY36" s="156"/>
      <c r="LZ36" s="156"/>
      <c r="MA36" s="156"/>
      <c r="MB36" s="156"/>
      <c r="MC36" s="156"/>
      <c r="MD36" s="156"/>
      <c r="ME36" s="156"/>
      <c r="MF36" s="156"/>
      <c r="MG36" s="156"/>
      <c r="MH36" s="156"/>
      <c r="MI36" s="156"/>
      <c r="MJ36" s="156"/>
      <c r="MK36" s="156"/>
      <c r="ML36" s="156"/>
      <c r="MM36" s="156"/>
      <c r="MN36" s="156"/>
      <c r="MO36" s="156"/>
      <c r="MP36" s="156"/>
      <c r="MQ36" s="156"/>
      <c r="MR36" s="156"/>
      <c r="MS36" s="156"/>
      <c r="MT36" s="156"/>
      <c r="MU36" s="156"/>
      <c r="MV36" s="156"/>
      <c r="MW36" s="156"/>
      <c r="MX36" s="156"/>
      <c r="MY36" s="156"/>
      <c r="MZ36" s="156"/>
      <c r="NA36" s="156"/>
      <c r="NB36" s="156"/>
      <c r="NC36" s="156"/>
      <c r="ND36" s="156"/>
      <c r="NE36" s="156"/>
      <c r="NF36" s="156"/>
      <c r="NG36" s="156"/>
      <c r="NH36" s="156"/>
      <c r="NI36" s="156"/>
      <c r="NJ36" s="156"/>
      <c r="NK36" s="156"/>
      <c r="NL36" s="156"/>
      <c r="NM36" s="156"/>
      <c r="NN36" s="156"/>
      <c r="NO36" s="156"/>
      <c r="NP36" s="156"/>
      <c r="NQ36" s="156"/>
      <c r="NR36" s="156"/>
      <c r="NS36" s="156"/>
      <c r="NT36" s="156"/>
      <c r="NU36" s="156"/>
      <c r="NV36" s="156"/>
      <c r="NW36" s="156"/>
      <c r="NX36" s="156"/>
      <c r="NY36" s="156"/>
      <c r="NZ36" s="156"/>
      <c r="OA36" s="156"/>
      <c r="OB36" s="156"/>
      <c r="OC36" s="156"/>
      <c r="OD36" s="156"/>
      <c r="OE36" s="156"/>
      <c r="OF36" s="156"/>
      <c r="OG36" s="156"/>
      <c r="OH36" s="156"/>
      <c r="OI36" s="156"/>
      <c r="OJ36" s="156"/>
      <c r="OK36" s="156"/>
      <c r="OL36" s="156"/>
      <c r="OM36" s="156"/>
      <c r="ON36" s="162" t="s">
        <v>83</v>
      </c>
      <c r="OO36" s="155">
        <v>1545835</v>
      </c>
      <c r="OP36" s="155">
        <v>379296</v>
      </c>
      <c r="OQ36" s="155">
        <v>138507</v>
      </c>
      <c r="OR36" s="179">
        <v>15012125</v>
      </c>
      <c r="OS36" s="156"/>
      <c r="OT36" s="155">
        <v>1479860</v>
      </c>
      <c r="OU36" s="155">
        <v>608152</v>
      </c>
      <c r="OV36" s="155">
        <v>370825</v>
      </c>
      <c r="OW36" s="179">
        <v>14581007</v>
      </c>
      <c r="OX36" s="156"/>
      <c r="OY36" s="155">
        <v>1490614</v>
      </c>
      <c r="OZ36" s="155">
        <v>612000</v>
      </c>
      <c r="PA36" s="155">
        <v>376007</v>
      </c>
      <c r="PB36" s="179">
        <v>14377042</v>
      </c>
      <c r="PC36" s="156"/>
      <c r="PD36" s="156"/>
      <c r="PE36" s="156"/>
      <c r="PF36" s="156"/>
      <c r="PG36" s="156"/>
      <c r="PH36" s="156"/>
      <c r="PI36" s="156"/>
      <c r="PJ36" s="156"/>
      <c r="PK36" s="156"/>
      <c r="PL36" s="156"/>
      <c r="PM36" s="156"/>
      <c r="PN36" s="156"/>
      <c r="PO36" s="156"/>
      <c r="PP36" s="156"/>
      <c r="PQ36" s="156"/>
      <c r="PR36" s="156"/>
      <c r="PS36" s="156"/>
      <c r="PT36" s="156"/>
      <c r="PU36" s="156"/>
      <c r="PV36" s="156"/>
      <c r="PW36" s="156"/>
      <c r="PX36" s="156"/>
      <c r="PY36" s="156"/>
      <c r="PZ36" s="156"/>
      <c r="QA36" s="156"/>
      <c r="QB36" s="156"/>
      <c r="QC36" s="156"/>
      <c r="QD36" s="156"/>
      <c r="QE36" s="156"/>
      <c r="QF36" s="156"/>
      <c r="QG36" s="156"/>
      <c r="QH36" s="156"/>
      <c r="QI36" s="156"/>
      <c r="QJ36" s="156"/>
      <c r="QK36" s="156"/>
      <c r="QL36" s="156"/>
      <c r="QM36" s="156"/>
      <c r="QN36" s="156"/>
      <c r="QO36" s="156"/>
      <c r="QP36" s="156"/>
      <c r="QQ36" s="156"/>
      <c r="QR36" s="156"/>
      <c r="QS36" s="156"/>
      <c r="QT36" s="156"/>
    </row>
    <row r="37" spans="1:462">
      <c r="KM37" s="156"/>
      <c r="KN37" s="156"/>
      <c r="KO37" s="156"/>
      <c r="KP37" s="156"/>
      <c r="KR37" s="156"/>
      <c r="KS37" s="156"/>
      <c r="KT37" s="156"/>
      <c r="KU37" s="156"/>
      <c r="KV37" s="156"/>
      <c r="KW37" s="156"/>
      <c r="KX37" s="156"/>
      <c r="KY37" s="156"/>
      <c r="KZ37" s="156"/>
      <c r="LA37" s="156"/>
      <c r="LB37" s="156"/>
      <c r="LC37" s="156"/>
      <c r="LD37" s="156"/>
      <c r="LE37" s="156"/>
      <c r="LF37" s="156"/>
      <c r="LG37" s="156"/>
      <c r="LH37" s="156"/>
      <c r="LI37" s="156"/>
      <c r="LJ37" s="156"/>
      <c r="LK37" s="156"/>
      <c r="LL37" s="156"/>
      <c r="LM37" s="156"/>
      <c r="LN37" s="156"/>
      <c r="LO37" s="156"/>
      <c r="LP37" s="156"/>
      <c r="LQ37" s="156"/>
      <c r="LR37" s="156"/>
      <c r="LS37" s="156"/>
      <c r="LT37" s="156"/>
      <c r="LU37" s="156"/>
      <c r="LV37" s="156"/>
      <c r="LW37" s="156"/>
      <c r="LX37" s="156"/>
      <c r="LY37" s="156"/>
      <c r="LZ37" s="156"/>
      <c r="MA37" s="156"/>
      <c r="MB37" s="156"/>
      <c r="MC37" s="156"/>
      <c r="MD37" s="156"/>
      <c r="ME37" s="156"/>
      <c r="MF37" s="156"/>
      <c r="MG37" s="156"/>
      <c r="MH37" s="156"/>
      <c r="MI37" s="156"/>
      <c r="MJ37" s="156"/>
      <c r="MK37" s="156"/>
      <c r="ML37" s="156"/>
      <c r="MM37" s="156"/>
      <c r="MN37" s="156"/>
      <c r="MO37" s="156"/>
      <c r="MP37" s="156"/>
      <c r="MQ37" s="156"/>
      <c r="MR37" s="156"/>
      <c r="MS37" s="156"/>
      <c r="MT37" s="156"/>
      <c r="MU37" s="156"/>
      <c r="MV37" s="156"/>
      <c r="MW37" s="156"/>
      <c r="MX37" s="156"/>
      <c r="MY37" s="156"/>
      <c r="MZ37" s="156"/>
      <c r="NA37" s="156"/>
      <c r="NB37" s="156"/>
      <c r="NC37" s="156"/>
      <c r="ND37" s="156"/>
      <c r="NE37" s="156"/>
      <c r="NF37" s="156"/>
      <c r="NG37" s="156"/>
      <c r="NH37" s="156"/>
      <c r="NI37" s="156"/>
      <c r="NJ37" s="156"/>
      <c r="NK37" s="156"/>
      <c r="NL37" s="156"/>
      <c r="NM37" s="156"/>
      <c r="NN37" s="156"/>
      <c r="NO37" s="156"/>
      <c r="NP37" s="156"/>
      <c r="NQ37" s="156"/>
      <c r="NR37" s="156"/>
      <c r="NS37" s="156"/>
      <c r="NT37" s="156"/>
      <c r="NU37" s="156"/>
      <c r="NV37" s="156"/>
      <c r="NW37" s="156"/>
      <c r="NX37" s="156"/>
      <c r="NY37" s="156"/>
      <c r="NZ37" s="156"/>
      <c r="OA37" s="156"/>
      <c r="OB37" s="156"/>
      <c r="OC37" s="156"/>
      <c r="OD37" s="156"/>
      <c r="OE37" s="156"/>
      <c r="OF37" s="156"/>
      <c r="OG37" s="156"/>
      <c r="OH37" s="156"/>
      <c r="OI37" s="156"/>
      <c r="OJ37" s="156"/>
      <c r="OK37" s="156"/>
      <c r="OL37" s="156"/>
      <c r="OM37" s="156"/>
      <c r="ON37" s="162" t="s">
        <v>84</v>
      </c>
      <c r="OO37" s="155">
        <v>4010459</v>
      </c>
      <c r="OP37" s="155">
        <v>106749</v>
      </c>
      <c r="OQ37" s="155">
        <v>103508</v>
      </c>
      <c r="OR37" s="179">
        <v>3715551</v>
      </c>
      <c r="OS37" s="156"/>
      <c r="OT37" s="155">
        <v>3691883</v>
      </c>
      <c r="OU37" s="155">
        <v>109830</v>
      </c>
      <c r="OV37" s="155">
        <v>105291</v>
      </c>
      <c r="OW37" s="179">
        <v>2413083</v>
      </c>
      <c r="OX37" s="156"/>
      <c r="OY37" s="155">
        <v>3479108</v>
      </c>
      <c r="OZ37" s="155">
        <v>153290</v>
      </c>
      <c r="PA37" s="155">
        <v>144543</v>
      </c>
      <c r="PB37" s="179">
        <v>2040729</v>
      </c>
      <c r="PC37" s="156"/>
      <c r="PD37" s="156"/>
      <c r="PE37" s="156"/>
      <c r="PF37" s="156"/>
      <c r="PG37" s="156"/>
      <c r="PH37" s="156"/>
      <c r="PI37" s="156"/>
      <c r="PJ37" s="156"/>
      <c r="PK37" s="156"/>
      <c r="PL37" s="156"/>
      <c r="PM37" s="156"/>
      <c r="PN37" s="156"/>
      <c r="PO37" s="156"/>
      <c r="PP37" s="156"/>
      <c r="PQ37" s="156"/>
      <c r="PR37" s="156"/>
      <c r="PS37" s="156"/>
      <c r="PT37" s="156"/>
      <c r="PU37" s="156"/>
      <c r="PV37" s="156"/>
      <c r="PW37" s="156"/>
      <c r="PX37" s="156"/>
      <c r="PY37" s="156"/>
      <c r="PZ37" s="156"/>
      <c r="QA37" s="156"/>
      <c r="QB37" s="156"/>
      <c r="QC37" s="156"/>
      <c r="QD37" s="156"/>
      <c r="QE37" s="156"/>
      <c r="QF37" s="156"/>
      <c r="QG37" s="156"/>
      <c r="QH37" s="156"/>
      <c r="QI37" s="156"/>
      <c r="QJ37" s="156"/>
      <c r="QK37" s="156"/>
      <c r="QL37" s="156"/>
      <c r="QM37" s="156"/>
      <c r="QN37" s="156"/>
      <c r="QO37" s="156"/>
      <c r="QP37" s="156"/>
      <c r="QQ37" s="156"/>
      <c r="QR37" s="156"/>
      <c r="QS37" s="156"/>
      <c r="QT37" s="156"/>
    </row>
    <row r="38" spans="1:462">
      <c r="KM38" s="156"/>
      <c r="KN38" s="156"/>
      <c r="KO38" s="156"/>
      <c r="KP38" s="156"/>
      <c r="KR38" s="156"/>
      <c r="KS38" s="156"/>
      <c r="KT38" s="156"/>
      <c r="KU38" s="156"/>
      <c r="KV38" s="156"/>
      <c r="KW38" s="156"/>
      <c r="KX38" s="156"/>
      <c r="KY38" s="156"/>
      <c r="KZ38" s="156"/>
      <c r="LA38" s="156"/>
      <c r="LB38" s="156"/>
      <c r="LC38" s="156"/>
      <c r="LD38" s="156"/>
      <c r="LE38" s="156"/>
      <c r="LF38" s="156"/>
      <c r="LG38" s="156"/>
      <c r="LH38" s="156"/>
      <c r="LI38" s="156"/>
      <c r="LJ38" s="156"/>
      <c r="LK38" s="156"/>
      <c r="LL38" s="156"/>
      <c r="LM38" s="156"/>
      <c r="LN38" s="156"/>
      <c r="LO38" s="156"/>
      <c r="LP38" s="156"/>
      <c r="LQ38" s="156"/>
      <c r="LR38" s="156"/>
      <c r="LS38" s="156"/>
      <c r="LT38" s="156"/>
      <c r="LU38" s="156"/>
      <c r="LV38" s="156"/>
      <c r="LW38" s="156"/>
      <c r="LX38" s="156"/>
      <c r="LY38" s="156"/>
      <c r="LZ38" s="156"/>
      <c r="MA38" s="156"/>
      <c r="MB38" s="156"/>
      <c r="MC38" s="156"/>
      <c r="MD38" s="156"/>
      <c r="ME38" s="156"/>
      <c r="MF38" s="156"/>
      <c r="MG38" s="156"/>
      <c r="MH38" s="156"/>
      <c r="MI38" s="156"/>
      <c r="MJ38" s="156"/>
      <c r="MK38" s="156"/>
      <c r="ML38" s="156"/>
      <c r="MM38" s="156"/>
      <c r="MN38" s="156"/>
      <c r="MO38" s="156"/>
      <c r="MP38" s="156"/>
      <c r="MQ38" s="156"/>
      <c r="MR38" s="156"/>
      <c r="MS38" s="156"/>
      <c r="MT38" s="156"/>
      <c r="MU38" s="156"/>
      <c r="MV38" s="156"/>
      <c r="MW38" s="156"/>
      <c r="MX38" s="156"/>
      <c r="MY38" s="156"/>
      <c r="MZ38" s="156"/>
      <c r="NA38" s="156"/>
      <c r="NB38" s="156"/>
      <c r="NC38" s="156"/>
      <c r="ND38" s="156"/>
      <c r="NE38" s="156"/>
      <c r="NF38" s="156"/>
      <c r="NG38" s="156"/>
      <c r="NH38" s="156"/>
      <c r="NI38" s="156"/>
      <c r="NJ38" s="156"/>
      <c r="NK38" s="156"/>
      <c r="NL38" s="156"/>
      <c r="NM38" s="156"/>
      <c r="NN38" s="156"/>
      <c r="NO38" s="156"/>
      <c r="NP38" s="156"/>
      <c r="NQ38" s="156"/>
      <c r="NR38" s="156"/>
      <c r="NS38" s="156"/>
      <c r="NT38" s="156"/>
      <c r="NU38" s="156"/>
      <c r="NV38" s="156"/>
      <c r="NW38" s="156"/>
      <c r="NX38" s="156"/>
      <c r="NY38" s="156"/>
      <c r="NZ38" s="156"/>
      <c r="OA38" s="156"/>
      <c r="OB38" s="156"/>
      <c r="OC38" s="156"/>
      <c r="OD38" s="156"/>
      <c r="OE38" s="156"/>
      <c r="OF38" s="156"/>
      <c r="OG38" s="156"/>
      <c r="OH38" s="156"/>
      <c r="OI38" s="156"/>
      <c r="OJ38" s="156"/>
      <c r="OK38" s="156"/>
      <c r="OL38" s="156"/>
      <c r="OM38" s="156"/>
      <c r="ON38" s="162" t="s">
        <v>85</v>
      </c>
      <c r="OO38" s="155">
        <v>153870</v>
      </c>
      <c r="OP38" s="155">
        <v>-2388</v>
      </c>
      <c r="OQ38" s="155">
        <v>-15091</v>
      </c>
      <c r="OR38" s="155">
        <v>267663</v>
      </c>
      <c r="OS38" s="156"/>
      <c r="OT38" s="155">
        <v>155387</v>
      </c>
      <c r="OU38" s="155">
        <v>31201</v>
      </c>
      <c r="OV38" s="155">
        <v>19345</v>
      </c>
      <c r="OW38" s="155">
        <v>230454</v>
      </c>
      <c r="OX38" s="156"/>
      <c r="OY38" s="155">
        <v>138236</v>
      </c>
      <c r="OZ38" s="155">
        <v>15822</v>
      </c>
      <c r="PA38" s="155">
        <v>5885</v>
      </c>
      <c r="PB38" s="155">
        <v>222294</v>
      </c>
      <c r="PC38" s="156"/>
      <c r="PD38" s="156"/>
      <c r="PE38" s="156"/>
      <c r="PF38" s="156"/>
      <c r="PG38" s="156"/>
      <c r="PH38" s="156"/>
      <c r="PI38" s="156"/>
      <c r="PJ38" s="156"/>
      <c r="PK38" s="156"/>
      <c r="PL38" s="156"/>
      <c r="PM38" s="156"/>
      <c r="PN38" s="156"/>
      <c r="PO38" s="156"/>
      <c r="PP38" s="156"/>
      <c r="PQ38" s="156"/>
      <c r="PR38" s="156"/>
      <c r="PS38" s="156"/>
      <c r="PT38" s="156"/>
      <c r="PU38" s="156"/>
      <c r="PV38" s="156"/>
      <c r="PW38" s="156"/>
      <c r="PX38" s="156"/>
      <c r="PY38" s="156"/>
      <c r="PZ38" s="156"/>
      <c r="QA38" s="156"/>
      <c r="QB38" s="156"/>
      <c r="QC38" s="156"/>
      <c r="QD38" s="156"/>
      <c r="QE38" s="156"/>
      <c r="QF38" s="156"/>
      <c r="QG38" s="156"/>
      <c r="QH38" s="156"/>
      <c r="QI38" s="156"/>
      <c r="QJ38" s="156"/>
      <c r="QK38" s="156"/>
      <c r="QL38" s="156"/>
      <c r="QM38" s="156"/>
      <c r="QN38" s="156"/>
      <c r="QO38" s="156"/>
      <c r="QP38" s="156"/>
      <c r="QQ38" s="156"/>
      <c r="QR38" s="156"/>
      <c r="QS38" s="156"/>
      <c r="QT38" s="156"/>
    </row>
    <row r="39" spans="1:462">
      <c r="KM39" s="156"/>
      <c r="KN39" s="156"/>
      <c r="KO39" s="156"/>
      <c r="KP39" s="156"/>
      <c r="KR39" s="156"/>
      <c r="KS39" s="156"/>
      <c r="KT39" s="156"/>
      <c r="KU39" s="156"/>
      <c r="KV39" s="156"/>
      <c r="KW39" s="156"/>
      <c r="KX39" s="156"/>
      <c r="KY39" s="156"/>
      <c r="KZ39" s="156"/>
      <c r="LA39" s="156"/>
      <c r="LB39" s="156"/>
      <c r="LC39" s="156"/>
      <c r="LD39" s="156"/>
      <c r="LE39" s="156"/>
      <c r="LF39" s="156"/>
      <c r="LG39" s="156"/>
      <c r="LH39" s="156"/>
      <c r="LI39" s="156"/>
      <c r="LJ39" s="156"/>
      <c r="LK39" s="156"/>
      <c r="LL39" s="156"/>
      <c r="LM39" s="156"/>
      <c r="LN39" s="156"/>
      <c r="LO39" s="156"/>
      <c r="LP39" s="156"/>
      <c r="LQ39" s="156"/>
      <c r="LR39" s="156"/>
      <c r="LS39" s="156"/>
      <c r="LT39" s="156"/>
      <c r="LU39" s="156"/>
      <c r="LV39" s="156"/>
      <c r="LW39" s="156"/>
      <c r="LX39" s="156"/>
      <c r="LY39" s="156"/>
      <c r="LZ39" s="156"/>
      <c r="MA39" s="156"/>
      <c r="MB39" s="156"/>
      <c r="MC39" s="156"/>
      <c r="MD39" s="156"/>
      <c r="ME39" s="156"/>
      <c r="MF39" s="156"/>
      <c r="MG39" s="156"/>
      <c r="MH39" s="156"/>
      <c r="MI39" s="156"/>
      <c r="MJ39" s="156"/>
      <c r="MK39" s="156"/>
      <c r="ML39" s="156"/>
      <c r="MM39" s="156"/>
      <c r="MN39" s="156"/>
      <c r="MO39" s="156"/>
      <c r="MP39" s="156"/>
      <c r="MQ39" s="156"/>
      <c r="MR39" s="156"/>
      <c r="MS39" s="156"/>
      <c r="MT39" s="156"/>
      <c r="MU39" s="156"/>
      <c r="MV39" s="156"/>
      <c r="MW39" s="156"/>
      <c r="MX39" s="156"/>
      <c r="MY39" s="156"/>
      <c r="MZ39" s="156"/>
      <c r="NA39" s="156"/>
      <c r="NB39" s="156"/>
      <c r="NC39" s="156"/>
      <c r="ND39" s="156"/>
      <c r="NE39" s="156"/>
      <c r="NF39" s="156"/>
      <c r="NG39" s="156"/>
      <c r="NH39" s="156"/>
      <c r="NI39" s="156"/>
      <c r="NJ39" s="156"/>
      <c r="NK39" s="156"/>
      <c r="NL39" s="156"/>
      <c r="NM39" s="156"/>
      <c r="NN39" s="156"/>
      <c r="NO39" s="156"/>
      <c r="NP39" s="156"/>
      <c r="NQ39" s="156"/>
      <c r="NR39" s="156"/>
      <c r="NS39" s="156"/>
      <c r="NT39" s="156"/>
      <c r="NU39" s="156"/>
      <c r="NV39" s="156"/>
      <c r="NW39" s="156"/>
      <c r="NX39" s="156"/>
      <c r="NY39" s="156"/>
      <c r="NZ39" s="156"/>
      <c r="OA39" s="156"/>
      <c r="OB39" s="156"/>
      <c r="OC39" s="156"/>
      <c r="OD39" s="156"/>
      <c r="OE39" s="156"/>
      <c r="OF39" s="156"/>
      <c r="OG39" s="156"/>
      <c r="OH39" s="156"/>
      <c r="OI39" s="156"/>
      <c r="OJ39" s="156"/>
      <c r="OK39" s="156"/>
      <c r="OL39" s="156"/>
      <c r="OM39" s="156"/>
      <c r="ON39" s="172" t="s">
        <v>78</v>
      </c>
      <c r="OO39" s="169">
        <v>57229</v>
      </c>
      <c r="OP39" s="169">
        <v>-838</v>
      </c>
      <c r="OQ39" s="169">
        <v>-2417</v>
      </c>
      <c r="OR39" s="169">
        <v>191933</v>
      </c>
      <c r="OS39" s="156"/>
      <c r="OT39" s="169">
        <v>78754</v>
      </c>
      <c r="OU39" s="169">
        <v>11110</v>
      </c>
      <c r="OV39" s="169">
        <v>9389</v>
      </c>
      <c r="OW39" s="169">
        <v>160564</v>
      </c>
      <c r="OX39" s="156"/>
      <c r="OY39" s="169">
        <v>57784</v>
      </c>
      <c r="OZ39" s="169">
        <v>6878</v>
      </c>
      <c r="PA39" s="169">
        <v>5166</v>
      </c>
      <c r="PB39" s="169">
        <v>182892</v>
      </c>
      <c r="PC39" s="156"/>
      <c r="PD39" s="156"/>
      <c r="PE39" s="156"/>
      <c r="PF39" s="156"/>
      <c r="PG39" s="156"/>
      <c r="PH39" s="156"/>
      <c r="PI39" s="156"/>
      <c r="PJ39" s="156"/>
      <c r="PK39" s="156"/>
      <c r="PL39" s="156"/>
      <c r="PM39" s="156"/>
      <c r="PN39" s="156"/>
      <c r="PO39" s="156"/>
      <c r="PP39" s="156"/>
      <c r="PQ39" s="156"/>
      <c r="PR39" s="156"/>
      <c r="PS39" s="156"/>
      <c r="PT39" s="156"/>
      <c r="PU39" s="156"/>
      <c r="PV39" s="156"/>
      <c r="PW39" s="156"/>
      <c r="PX39" s="156"/>
      <c r="PY39" s="156"/>
      <c r="PZ39" s="156"/>
      <c r="QA39" s="156"/>
      <c r="QB39" s="156"/>
      <c r="QC39" s="156"/>
      <c r="QD39" s="156"/>
      <c r="QE39" s="156"/>
      <c r="QF39" s="156"/>
      <c r="QG39" s="156"/>
      <c r="QH39" s="156"/>
      <c r="QI39" s="156"/>
      <c r="QJ39" s="156"/>
      <c r="QK39" s="156"/>
      <c r="QL39" s="156"/>
      <c r="QM39" s="156"/>
      <c r="QN39" s="156"/>
      <c r="QO39" s="156"/>
      <c r="QP39" s="156"/>
      <c r="QQ39" s="156"/>
      <c r="QR39" s="156"/>
      <c r="QS39" s="156"/>
      <c r="QT39" s="156"/>
    </row>
    <row r="40" spans="1:462">
      <c r="KM40" s="156"/>
      <c r="KN40" s="156"/>
      <c r="KO40" s="156"/>
      <c r="KP40" s="156"/>
      <c r="KR40" s="156"/>
      <c r="KS40" s="156"/>
      <c r="KT40" s="156"/>
      <c r="KU40" s="156"/>
      <c r="KV40" s="156"/>
      <c r="KW40" s="156"/>
      <c r="KX40" s="156"/>
      <c r="KY40" s="156"/>
      <c r="KZ40" s="156"/>
      <c r="LA40" s="156"/>
      <c r="LB40" s="156"/>
      <c r="LC40" s="156"/>
      <c r="LD40" s="156"/>
      <c r="LE40" s="156"/>
      <c r="LF40" s="156"/>
      <c r="LG40" s="156"/>
      <c r="LH40" s="156"/>
      <c r="LI40" s="156"/>
      <c r="LJ40" s="156"/>
      <c r="LK40" s="156"/>
      <c r="LL40" s="156"/>
      <c r="LM40" s="156"/>
      <c r="LN40" s="156"/>
      <c r="LO40" s="156"/>
      <c r="LP40" s="156"/>
      <c r="LQ40" s="156"/>
      <c r="LR40" s="156"/>
      <c r="LS40" s="156"/>
      <c r="LT40" s="156"/>
      <c r="LU40" s="156"/>
      <c r="LV40" s="156"/>
      <c r="LW40" s="156"/>
      <c r="LX40" s="156"/>
      <c r="LY40" s="156"/>
      <c r="LZ40" s="156"/>
      <c r="MA40" s="156"/>
      <c r="MB40" s="156"/>
      <c r="MC40" s="156"/>
      <c r="MD40" s="156"/>
      <c r="ME40" s="156"/>
      <c r="MF40" s="156"/>
      <c r="MG40" s="156"/>
      <c r="MH40" s="156"/>
      <c r="MI40" s="156"/>
      <c r="MJ40" s="156"/>
      <c r="MK40" s="156"/>
      <c r="ML40" s="156"/>
      <c r="MM40" s="156"/>
      <c r="MN40" s="156"/>
      <c r="MO40" s="156"/>
      <c r="MP40" s="156"/>
      <c r="MQ40" s="156"/>
      <c r="MR40" s="156"/>
      <c r="MS40" s="156"/>
      <c r="MT40" s="156"/>
      <c r="MU40" s="156"/>
      <c r="MV40" s="156"/>
      <c r="MW40" s="156"/>
      <c r="MX40" s="156"/>
      <c r="MY40" s="156"/>
      <c r="MZ40" s="156"/>
      <c r="NA40" s="156"/>
      <c r="NB40" s="156"/>
      <c r="NC40" s="156"/>
      <c r="ND40" s="156"/>
      <c r="NE40" s="156"/>
      <c r="NF40" s="156"/>
      <c r="NG40" s="156"/>
      <c r="NH40" s="156"/>
      <c r="NI40" s="156"/>
      <c r="NJ40" s="156"/>
      <c r="NK40" s="156"/>
      <c r="NL40" s="156"/>
      <c r="NM40" s="156"/>
      <c r="NN40" s="156"/>
      <c r="NO40" s="156"/>
      <c r="NP40" s="156"/>
      <c r="NQ40" s="156"/>
      <c r="NR40" s="156"/>
      <c r="NS40" s="156"/>
      <c r="NT40" s="156"/>
      <c r="NU40" s="156"/>
      <c r="NV40" s="156"/>
      <c r="NW40" s="156"/>
      <c r="NX40" s="156"/>
      <c r="NY40" s="156"/>
      <c r="NZ40" s="156"/>
      <c r="OA40" s="156"/>
      <c r="OB40" s="156"/>
      <c r="OC40" s="156"/>
      <c r="OD40" s="156"/>
      <c r="OE40" s="156"/>
      <c r="OF40" s="156"/>
      <c r="OG40" s="156"/>
      <c r="OH40" s="156"/>
      <c r="OI40" s="156"/>
      <c r="OJ40" s="156"/>
      <c r="OK40" s="156"/>
      <c r="OL40" s="156"/>
      <c r="OM40" s="156"/>
      <c r="ON40" s="156"/>
      <c r="OO40" s="156"/>
      <c r="OP40" s="156"/>
      <c r="OQ40" s="156"/>
      <c r="OR40" s="156"/>
      <c r="OS40" s="156"/>
      <c r="OT40" s="156"/>
      <c r="OU40" s="156"/>
      <c r="OV40" s="156"/>
      <c r="OW40" s="156"/>
      <c r="OX40" s="156"/>
      <c r="OY40" s="156"/>
      <c r="OZ40" s="156"/>
      <c r="PA40" s="156"/>
      <c r="PB40" s="156"/>
      <c r="PC40" s="156"/>
      <c r="PD40" s="156"/>
      <c r="PE40" s="156"/>
      <c r="PF40" s="156"/>
      <c r="PG40" s="156"/>
      <c r="PH40" s="156"/>
      <c r="PI40" s="156"/>
      <c r="PJ40" s="156"/>
      <c r="PK40" s="156"/>
      <c r="PL40" s="156"/>
      <c r="PM40" s="156"/>
      <c r="PN40" s="156"/>
      <c r="PO40" s="156"/>
      <c r="PP40" s="156"/>
      <c r="PQ40" s="156"/>
      <c r="PR40" s="156"/>
      <c r="PS40" s="156"/>
      <c r="PT40" s="156"/>
      <c r="PU40" s="156"/>
      <c r="PV40" s="156"/>
      <c r="PW40" s="156"/>
      <c r="PX40" s="156"/>
      <c r="PY40" s="156"/>
      <c r="PZ40" s="156"/>
      <c r="QA40" s="156"/>
      <c r="QB40" s="156"/>
      <c r="QC40" s="156"/>
      <c r="QD40" s="156"/>
      <c r="QE40" s="156"/>
      <c r="QF40" s="156"/>
      <c r="QG40" s="156"/>
      <c r="QH40" s="156"/>
      <c r="QI40" s="156"/>
      <c r="QJ40" s="156"/>
      <c r="QK40" s="156"/>
      <c r="QL40" s="156"/>
      <c r="QM40" s="156"/>
      <c r="QN40" s="156"/>
      <c r="QO40" s="156"/>
      <c r="QP40" s="156"/>
      <c r="QQ40" s="156"/>
      <c r="QR40" s="156"/>
      <c r="QS40" s="156"/>
      <c r="QT40" s="156"/>
    </row>
    <row r="41" spans="1:462">
      <c r="KM41" s="156"/>
      <c r="KN41" s="156"/>
      <c r="KO41" s="156"/>
      <c r="KP41" s="156"/>
      <c r="KR41" s="156"/>
      <c r="KS41" s="156"/>
      <c r="KT41" s="156"/>
      <c r="KU41" s="156"/>
      <c r="KV41" s="156"/>
      <c r="KW41" s="156"/>
      <c r="KX41" s="156"/>
      <c r="KY41" s="156"/>
      <c r="KZ41" s="156"/>
      <c r="LA41" s="156"/>
      <c r="LB41" s="156"/>
      <c r="LC41" s="156"/>
      <c r="LD41" s="156"/>
      <c r="LE41" s="156"/>
      <c r="LF41" s="156"/>
      <c r="LG41" s="156"/>
      <c r="LH41" s="156"/>
      <c r="LI41" s="156"/>
      <c r="LJ41" s="156"/>
      <c r="LK41" s="156"/>
      <c r="LL41" s="156"/>
      <c r="LM41" s="156"/>
      <c r="LN41" s="156"/>
      <c r="LO41" s="156"/>
      <c r="LP41" s="156"/>
      <c r="LQ41" s="156"/>
      <c r="LR41" s="156"/>
      <c r="LS41" s="156"/>
      <c r="LT41" s="156"/>
      <c r="LU41" s="156"/>
      <c r="LV41" s="156"/>
      <c r="LW41" s="156"/>
      <c r="LX41" s="156"/>
      <c r="LY41" s="156"/>
      <c r="LZ41" s="156"/>
      <c r="MA41" s="156"/>
      <c r="MB41" s="156"/>
      <c r="MC41" s="156"/>
      <c r="MD41" s="156"/>
      <c r="ME41" s="156"/>
      <c r="MF41" s="156"/>
      <c r="MG41" s="156"/>
      <c r="MH41" s="156"/>
      <c r="MI41" s="156"/>
      <c r="MJ41" s="156"/>
      <c r="MK41" s="156"/>
      <c r="ML41" s="156"/>
      <c r="MM41" s="156"/>
      <c r="MN41" s="156"/>
      <c r="MO41" s="156"/>
      <c r="MP41" s="156"/>
      <c r="MQ41" s="156"/>
      <c r="MR41" s="156"/>
      <c r="MS41" s="156"/>
      <c r="MT41" s="156"/>
      <c r="MU41" s="156"/>
      <c r="MV41" s="156"/>
      <c r="MW41" s="156"/>
      <c r="MX41" s="156"/>
      <c r="MY41" s="156"/>
      <c r="MZ41" s="156"/>
      <c r="NA41" s="156"/>
      <c r="NB41" s="156"/>
      <c r="NC41" s="156"/>
      <c r="ND41" s="156"/>
      <c r="NE41" s="156"/>
      <c r="NF41" s="156"/>
      <c r="NG41" s="156"/>
      <c r="NH41" s="156"/>
      <c r="NI41" s="156"/>
      <c r="NJ41" s="156"/>
      <c r="NK41" s="156"/>
      <c r="NL41" s="156"/>
      <c r="NM41" s="156"/>
      <c r="NN41" s="156"/>
      <c r="NO41" s="156"/>
      <c r="NP41" s="156"/>
      <c r="NQ41" s="156"/>
      <c r="NR41" s="156"/>
      <c r="NS41" s="156"/>
      <c r="NT41" s="156"/>
      <c r="NU41" s="156"/>
      <c r="NV41" s="156"/>
      <c r="NW41" s="156"/>
      <c r="NX41" s="156"/>
      <c r="NY41" s="156"/>
      <c r="NZ41" s="156"/>
      <c r="OA41" s="156"/>
      <c r="OB41" s="156"/>
      <c r="OC41" s="156"/>
      <c r="OD41" s="156"/>
      <c r="OE41" s="156"/>
      <c r="OF41" s="156"/>
      <c r="OG41" s="156"/>
      <c r="OH41" s="156"/>
      <c r="OI41" s="156"/>
      <c r="OJ41" s="156"/>
      <c r="OK41" s="156"/>
      <c r="OL41" s="156"/>
      <c r="OM41" s="156"/>
      <c r="ON41" s="156"/>
      <c r="OO41" s="156"/>
      <c r="OP41" s="156"/>
      <c r="OQ41" s="156"/>
      <c r="OR41" s="156"/>
      <c r="OS41" s="156"/>
      <c r="OT41" s="156"/>
      <c r="OU41" s="156"/>
      <c r="OV41" s="156"/>
      <c r="OW41" s="156"/>
      <c r="OX41" s="156"/>
      <c r="OY41" s="156"/>
      <c r="OZ41" s="156"/>
      <c r="PA41" s="156"/>
      <c r="PB41" s="156"/>
      <c r="PC41" s="156"/>
      <c r="PD41" s="156"/>
      <c r="PE41" s="156"/>
      <c r="PF41" s="156"/>
      <c r="PG41" s="156"/>
      <c r="PH41" s="156"/>
      <c r="PI41" s="156"/>
      <c r="PJ41" s="156"/>
      <c r="PK41" s="156"/>
      <c r="PL41" s="156"/>
      <c r="PM41" s="156"/>
      <c r="PN41" s="156"/>
      <c r="PO41" s="156"/>
      <c r="PP41" s="156"/>
      <c r="PQ41" s="156"/>
      <c r="PR41" s="156"/>
      <c r="PS41" s="156"/>
      <c r="PT41" s="156"/>
      <c r="PU41" s="156"/>
      <c r="PV41" s="156"/>
      <c r="PW41" s="156"/>
      <c r="PX41" s="156"/>
      <c r="PY41" s="156"/>
      <c r="PZ41" s="156"/>
      <c r="QA41" s="156"/>
      <c r="QB41" s="156"/>
      <c r="QC41" s="156"/>
      <c r="QD41" s="156"/>
      <c r="QE41" s="156"/>
      <c r="QF41" s="156"/>
      <c r="QG41" s="156"/>
      <c r="QH41" s="156"/>
      <c r="QI41" s="156"/>
      <c r="QJ41" s="156"/>
      <c r="QK41" s="156"/>
      <c r="QL41" s="156"/>
      <c r="QM41" s="156"/>
      <c r="QN41" s="156"/>
      <c r="QO41" s="156"/>
      <c r="QP41" s="156"/>
      <c r="QQ41" s="156"/>
      <c r="QR41" s="156"/>
      <c r="QS41" s="156"/>
      <c r="QT41" s="156"/>
    </row>
    <row r="42" spans="1:462">
      <c r="KM42" s="156"/>
      <c r="KN42" s="156"/>
      <c r="KO42" s="156"/>
      <c r="KP42" s="156"/>
      <c r="KR42" s="156"/>
      <c r="KS42" s="156"/>
      <c r="KT42" s="156"/>
      <c r="KU42" s="156"/>
      <c r="KV42" s="156"/>
      <c r="KW42" s="156"/>
      <c r="KX42" s="156"/>
      <c r="KY42" s="156"/>
      <c r="KZ42" s="156"/>
      <c r="LA42" s="156"/>
      <c r="LB42" s="156"/>
      <c r="LC42" s="156"/>
      <c r="LD42" s="156"/>
      <c r="LE42" s="156"/>
      <c r="LF42" s="156"/>
      <c r="LG42" s="156"/>
      <c r="LH42" s="156"/>
      <c r="LI42" s="156"/>
      <c r="LJ42" s="156"/>
      <c r="LK42" s="156"/>
      <c r="LL42" s="156"/>
      <c r="LM42" s="156"/>
      <c r="LN42" s="156"/>
      <c r="LO42" s="156"/>
      <c r="LP42" s="156"/>
      <c r="LQ42" s="156"/>
      <c r="LR42" s="156"/>
      <c r="LS42" s="156"/>
      <c r="LT42" s="156"/>
      <c r="LU42" s="156"/>
      <c r="LV42" s="156"/>
      <c r="LW42" s="156"/>
      <c r="LX42" s="156"/>
      <c r="LY42" s="156"/>
      <c r="LZ42" s="156"/>
      <c r="MA42" s="156"/>
      <c r="MB42" s="156"/>
      <c r="MC42" s="156"/>
      <c r="MD42" s="156"/>
      <c r="ME42" s="156"/>
      <c r="MF42" s="156"/>
      <c r="MG42" s="156"/>
      <c r="MH42" s="156"/>
      <c r="MI42" s="156"/>
      <c r="MJ42" s="156"/>
      <c r="MK42" s="156"/>
      <c r="ML42" s="156"/>
      <c r="MM42" s="156"/>
      <c r="MN42" s="156"/>
      <c r="MO42" s="156"/>
      <c r="MP42" s="156"/>
      <c r="MQ42" s="156"/>
      <c r="MR42" s="156"/>
      <c r="MS42" s="156"/>
      <c r="MT42" s="156"/>
      <c r="MU42" s="156"/>
      <c r="MV42" s="156"/>
      <c r="MW42" s="156"/>
      <c r="MX42" s="156"/>
      <c r="MY42" s="156"/>
      <c r="MZ42" s="156"/>
      <c r="NA42" s="156"/>
      <c r="NB42" s="156"/>
      <c r="NC42" s="156"/>
      <c r="ND42" s="156"/>
      <c r="NE42" s="156"/>
      <c r="NF42" s="156"/>
      <c r="NG42" s="156"/>
      <c r="NH42" s="156"/>
      <c r="NI42" s="156"/>
      <c r="NJ42" s="156"/>
      <c r="NK42" s="156"/>
      <c r="NL42" s="156"/>
      <c r="NM42" s="156"/>
      <c r="NN42" s="156"/>
      <c r="NO42" s="156"/>
      <c r="NP42" s="156"/>
      <c r="NQ42" s="156"/>
      <c r="NR42" s="156"/>
      <c r="NS42" s="156"/>
      <c r="NT42" s="156"/>
      <c r="NU42" s="156"/>
      <c r="NV42" s="156"/>
      <c r="NW42" s="156"/>
      <c r="NX42" s="156"/>
      <c r="NY42" s="156"/>
      <c r="NZ42" s="156"/>
      <c r="OA42" s="156"/>
      <c r="OB42" s="156"/>
      <c r="OC42" s="156"/>
      <c r="OD42" s="156"/>
      <c r="OE42" s="156"/>
      <c r="OF42" s="156"/>
      <c r="OG42" s="156"/>
      <c r="OH42" s="156"/>
      <c r="OI42" s="156"/>
      <c r="OJ42" s="156"/>
      <c r="OK42" s="156"/>
      <c r="OL42" s="156"/>
      <c r="OM42" s="156"/>
      <c r="ON42" s="156"/>
      <c r="OO42" s="156"/>
      <c r="OP42" s="156"/>
      <c r="OQ42" s="156"/>
      <c r="OR42" s="156"/>
      <c r="OS42" s="156"/>
      <c r="OT42" s="156"/>
      <c r="OU42" s="156"/>
      <c r="OV42" s="156"/>
      <c r="OW42" s="156"/>
      <c r="OX42" s="156"/>
      <c r="OY42" s="156"/>
      <c r="OZ42" s="156"/>
      <c r="PA42" s="156"/>
      <c r="PB42" s="156"/>
      <c r="PC42" s="156"/>
      <c r="PD42" s="156"/>
      <c r="PE42" s="156"/>
      <c r="PF42" s="156"/>
      <c r="PG42" s="156"/>
      <c r="PH42" s="156"/>
      <c r="PI42" s="156"/>
      <c r="PJ42" s="156"/>
      <c r="PK42" s="156"/>
      <c r="PL42" s="156"/>
      <c r="PM42" s="156"/>
      <c r="PN42" s="156"/>
      <c r="PO42" s="156"/>
      <c r="PP42" s="156"/>
      <c r="PQ42" s="156"/>
      <c r="PR42" s="156"/>
      <c r="PS42" s="156"/>
      <c r="PT42" s="156"/>
      <c r="PU42" s="156"/>
      <c r="PV42" s="156"/>
      <c r="PW42" s="156"/>
      <c r="PX42" s="156"/>
      <c r="PY42" s="156"/>
      <c r="PZ42" s="156"/>
      <c r="QA42" s="156"/>
      <c r="QB42" s="156"/>
      <c r="QC42" s="156"/>
      <c r="QD42" s="156"/>
      <c r="QE42" s="156"/>
      <c r="QF42" s="156"/>
      <c r="QG42" s="156"/>
      <c r="QH42" s="156"/>
      <c r="QI42" s="156"/>
      <c r="QJ42" s="156"/>
      <c r="QK42" s="156"/>
      <c r="QL42" s="156"/>
      <c r="QM42" s="156"/>
      <c r="QN42" s="156"/>
      <c r="QO42" s="156"/>
      <c r="QP42" s="156"/>
      <c r="QQ42" s="156"/>
      <c r="QR42" s="156"/>
      <c r="QS42" s="156"/>
      <c r="QT42" s="156"/>
    </row>
    <row r="43" spans="1:462" ht="37.5">
      <c r="KM43" s="156"/>
      <c r="KN43" s="156"/>
      <c r="KO43" s="156"/>
      <c r="KP43" s="156"/>
      <c r="KR43" s="156"/>
      <c r="KS43" s="156"/>
      <c r="KT43" s="156"/>
      <c r="KU43" s="156"/>
      <c r="KV43" s="156"/>
      <c r="KW43" s="156"/>
      <c r="KX43" s="156"/>
      <c r="KY43" s="156"/>
      <c r="KZ43" s="156"/>
      <c r="LA43" s="156"/>
      <c r="LB43" s="156"/>
      <c r="LC43" s="156"/>
      <c r="LD43" s="156"/>
      <c r="LE43" s="156"/>
      <c r="LF43" s="156"/>
      <c r="LG43" s="156"/>
      <c r="LH43" s="156"/>
      <c r="LI43" s="156"/>
      <c r="LJ43" s="156"/>
      <c r="LK43" s="156"/>
      <c r="LL43" s="156"/>
      <c r="LM43" s="156"/>
      <c r="LN43" s="156"/>
      <c r="LO43" s="156"/>
      <c r="LP43" s="156"/>
      <c r="LQ43" s="156"/>
      <c r="LR43" s="156"/>
      <c r="LS43" s="156"/>
      <c r="LT43" s="156"/>
      <c r="LU43" s="156"/>
      <c r="LV43" s="156"/>
      <c r="LW43" s="156"/>
      <c r="LX43" s="156"/>
      <c r="LY43" s="156"/>
      <c r="LZ43" s="156"/>
      <c r="MA43" s="156"/>
      <c r="MB43" s="156"/>
      <c r="MC43" s="156"/>
      <c r="MD43" s="156"/>
      <c r="ME43" s="156"/>
      <c r="MF43" s="156"/>
      <c r="MG43" s="156"/>
      <c r="MH43" s="156"/>
      <c r="MI43" s="156"/>
      <c r="MJ43" s="156"/>
      <c r="MK43" s="156"/>
      <c r="ML43" s="156"/>
      <c r="MM43" s="156"/>
      <c r="MN43" s="156"/>
      <c r="MO43" s="156"/>
      <c r="MP43" s="156"/>
      <c r="MQ43" s="156"/>
      <c r="MR43" s="156"/>
      <c r="MS43" s="156"/>
      <c r="MT43" s="156"/>
      <c r="MU43" s="156"/>
      <c r="MV43" s="156"/>
      <c r="MW43" s="156"/>
      <c r="MX43" s="156"/>
      <c r="MY43" s="156"/>
      <c r="MZ43" s="156"/>
      <c r="NA43" s="156"/>
      <c r="NB43" s="156"/>
      <c r="NC43" s="156"/>
      <c r="ND43" s="156"/>
      <c r="NE43" s="156"/>
      <c r="NF43" s="156"/>
      <c r="NG43" s="156"/>
      <c r="NH43" s="156"/>
      <c r="NI43" s="156"/>
      <c r="NJ43" s="156"/>
      <c r="NK43" s="156"/>
      <c r="NL43" s="156"/>
      <c r="NM43" s="156"/>
      <c r="NN43" s="156"/>
      <c r="NO43" s="156"/>
      <c r="NP43" s="156"/>
      <c r="NQ43" s="156"/>
      <c r="NR43" s="156"/>
      <c r="NS43" s="156"/>
      <c r="NT43" s="156"/>
      <c r="NU43" s="156"/>
      <c r="NV43" s="156"/>
      <c r="NW43" s="156"/>
      <c r="NX43" s="156"/>
      <c r="NY43" s="156"/>
      <c r="NZ43" s="156"/>
      <c r="OA43" s="156"/>
      <c r="OB43" s="156"/>
      <c r="OC43" s="156"/>
      <c r="OD43" s="156"/>
      <c r="OE43" s="156"/>
      <c r="OF43" s="156"/>
      <c r="OG43" s="156"/>
      <c r="OH43" s="156"/>
      <c r="OI43" s="156"/>
      <c r="OJ43" s="156"/>
      <c r="OK43" s="156"/>
      <c r="OL43" s="156"/>
      <c r="OM43" s="156"/>
      <c r="ON43" s="177" t="s">
        <v>370</v>
      </c>
      <c r="OO43" s="159" t="s">
        <v>181</v>
      </c>
      <c r="OP43" s="159" t="s">
        <v>93</v>
      </c>
      <c r="OQ43" s="159" t="s">
        <v>196</v>
      </c>
      <c r="OR43" s="159" t="s">
        <v>182</v>
      </c>
      <c r="OS43" s="156"/>
      <c r="OT43" s="159" t="s">
        <v>183</v>
      </c>
      <c r="OU43" s="159" t="s">
        <v>184</v>
      </c>
      <c r="OV43" s="159" t="s">
        <v>188</v>
      </c>
      <c r="OW43" s="159" t="s">
        <v>190</v>
      </c>
      <c r="OX43" s="156"/>
      <c r="OY43" s="159" t="s">
        <v>106</v>
      </c>
      <c r="OZ43" s="159" t="s">
        <v>104</v>
      </c>
      <c r="PA43" s="159" t="s">
        <v>105</v>
      </c>
      <c r="PB43" s="159" t="s">
        <v>195</v>
      </c>
      <c r="PC43" s="156"/>
      <c r="PD43" s="156"/>
      <c r="PE43" s="156"/>
      <c r="PF43" s="156"/>
      <c r="PG43" s="156"/>
      <c r="PH43" s="156"/>
      <c r="PI43" s="156"/>
      <c r="PJ43" s="156"/>
      <c r="PK43" s="156"/>
      <c r="PL43" s="156"/>
      <c r="PM43" s="156"/>
      <c r="PN43" s="156"/>
      <c r="PO43" s="156"/>
      <c r="PP43" s="156"/>
      <c r="PQ43" s="156"/>
      <c r="PR43" s="156"/>
      <c r="PS43" s="156"/>
      <c r="PT43" s="156"/>
      <c r="PU43" s="156"/>
      <c r="PV43" s="156"/>
      <c r="PW43" s="156"/>
      <c r="PX43" s="156"/>
      <c r="PY43" s="156"/>
      <c r="PZ43" s="156"/>
      <c r="QA43" s="156"/>
      <c r="QB43" s="156"/>
      <c r="QC43" s="156"/>
      <c r="QD43" s="156"/>
      <c r="QE43" s="156"/>
      <c r="QF43" s="156"/>
      <c r="QG43" s="156"/>
      <c r="QH43" s="156"/>
      <c r="QI43" s="156"/>
      <c r="QJ43" s="156"/>
      <c r="QK43" s="156"/>
      <c r="QL43" s="156"/>
      <c r="QM43" s="156"/>
      <c r="QN43" s="156"/>
      <c r="QO43" s="156"/>
      <c r="QP43" s="156"/>
      <c r="QQ43" s="156"/>
      <c r="QR43" s="156"/>
      <c r="QS43" s="156"/>
      <c r="QT43" s="156"/>
    </row>
    <row r="44" spans="1:462">
      <c r="KM44" s="156"/>
      <c r="KN44" s="156"/>
      <c r="KO44" s="156"/>
      <c r="KP44" s="156"/>
      <c r="KR44" s="156"/>
      <c r="KS44" s="156"/>
      <c r="KT44" s="156"/>
      <c r="KU44" s="156"/>
      <c r="KV44" s="156"/>
      <c r="KW44" s="156"/>
      <c r="KX44" s="156"/>
      <c r="KY44" s="156"/>
      <c r="KZ44" s="156"/>
      <c r="LA44" s="156"/>
      <c r="LB44" s="156"/>
      <c r="LC44" s="156"/>
      <c r="LD44" s="156"/>
      <c r="LE44" s="156"/>
      <c r="LF44" s="156"/>
      <c r="LG44" s="156"/>
      <c r="LH44" s="156"/>
      <c r="LI44" s="156"/>
      <c r="LJ44" s="156"/>
      <c r="LK44" s="156"/>
      <c r="LL44" s="156"/>
      <c r="LM44" s="156"/>
      <c r="LN44" s="156"/>
      <c r="LO44" s="156"/>
      <c r="LP44" s="156"/>
      <c r="LQ44" s="156"/>
      <c r="LR44" s="156"/>
      <c r="LS44" s="156"/>
      <c r="LT44" s="156"/>
      <c r="LU44" s="156"/>
      <c r="LV44" s="156"/>
      <c r="LW44" s="156"/>
      <c r="LX44" s="156"/>
      <c r="LY44" s="156"/>
      <c r="LZ44" s="156"/>
      <c r="MA44" s="156"/>
      <c r="MB44" s="156"/>
      <c r="MC44" s="156"/>
      <c r="MD44" s="156"/>
      <c r="ME44" s="156"/>
      <c r="MF44" s="156"/>
      <c r="MG44" s="156"/>
      <c r="MH44" s="156"/>
      <c r="MI44" s="156"/>
      <c r="MJ44" s="156"/>
      <c r="MK44" s="156"/>
      <c r="ML44" s="156"/>
      <c r="MM44" s="156"/>
      <c r="MN44" s="156"/>
      <c r="MO44" s="156"/>
      <c r="MP44" s="156"/>
      <c r="MQ44" s="156"/>
      <c r="MR44" s="156"/>
      <c r="MS44" s="156"/>
      <c r="MT44" s="156"/>
      <c r="MU44" s="156"/>
      <c r="MV44" s="156"/>
      <c r="MW44" s="156"/>
      <c r="MX44" s="156"/>
      <c r="MY44" s="156"/>
      <c r="MZ44" s="156"/>
      <c r="NA44" s="156"/>
      <c r="NB44" s="156"/>
      <c r="NC44" s="156"/>
      <c r="ND44" s="156"/>
      <c r="NE44" s="156"/>
      <c r="NF44" s="156"/>
      <c r="NG44" s="156"/>
      <c r="NH44" s="156"/>
      <c r="NI44" s="156"/>
      <c r="NJ44" s="156"/>
      <c r="NK44" s="156"/>
      <c r="NL44" s="156"/>
      <c r="NM44" s="156"/>
      <c r="NN44" s="156"/>
      <c r="NO44" s="156"/>
      <c r="NP44" s="156"/>
      <c r="NQ44" s="156"/>
      <c r="NR44" s="156"/>
      <c r="NS44" s="156"/>
      <c r="NT44" s="156"/>
      <c r="NU44" s="156"/>
      <c r="NV44" s="156"/>
      <c r="NW44" s="156"/>
      <c r="NX44" s="156"/>
      <c r="NY44" s="156"/>
      <c r="NZ44" s="156"/>
      <c r="OA44" s="156"/>
      <c r="OB44" s="156"/>
      <c r="OC44" s="156"/>
      <c r="OD44" s="156"/>
      <c r="OE44" s="156"/>
      <c r="OF44" s="156"/>
      <c r="OG44" s="156"/>
      <c r="OH44" s="156"/>
      <c r="OI44" s="156"/>
      <c r="OJ44" s="156"/>
      <c r="OK44" s="156"/>
      <c r="OL44" s="156"/>
      <c r="OM44" s="156"/>
      <c r="ON44" s="163" t="s">
        <v>79</v>
      </c>
      <c r="OO44" s="161">
        <v>304936</v>
      </c>
      <c r="OP44" s="161">
        <v>-2231</v>
      </c>
      <c r="OQ44" s="161">
        <v>-23008</v>
      </c>
      <c r="OR44" s="161">
        <v>1465831</v>
      </c>
      <c r="OS44" s="156"/>
      <c r="OT44" s="161">
        <v>344248</v>
      </c>
      <c r="OU44" s="161">
        <v>30610</v>
      </c>
      <c r="OV44" s="161">
        <v>4342</v>
      </c>
      <c r="OW44" s="161">
        <v>1465831</v>
      </c>
      <c r="OX44" s="156"/>
      <c r="OY44" s="161">
        <v>375593</v>
      </c>
      <c r="OZ44" s="161">
        <v>64483</v>
      </c>
      <c r="PA44" s="161">
        <v>38486</v>
      </c>
      <c r="PB44" s="161">
        <v>1465831</v>
      </c>
      <c r="PC44" s="156"/>
      <c r="PD44" s="156"/>
      <c r="PE44" s="156"/>
      <c r="PF44" s="156"/>
      <c r="PG44" s="156"/>
      <c r="PH44" s="156"/>
      <c r="PI44" s="156"/>
      <c r="PJ44" s="156"/>
      <c r="PK44" s="156"/>
      <c r="PL44" s="156"/>
      <c r="PM44" s="156"/>
      <c r="PN44" s="156"/>
      <c r="PO44" s="156"/>
      <c r="PP44" s="156"/>
      <c r="PQ44" s="156"/>
      <c r="PR44" s="156"/>
      <c r="PS44" s="156"/>
      <c r="PT44" s="156"/>
      <c r="PU44" s="156"/>
      <c r="PV44" s="156"/>
      <c r="PW44" s="156"/>
      <c r="PX44" s="156"/>
      <c r="PY44" s="156"/>
      <c r="PZ44" s="156"/>
      <c r="QA44" s="156"/>
      <c r="QB44" s="156"/>
      <c r="QC44" s="156"/>
      <c r="QD44" s="156"/>
      <c r="QE44" s="156"/>
      <c r="QF44" s="156"/>
      <c r="QG44" s="156"/>
      <c r="QH44" s="156"/>
      <c r="QI44" s="156"/>
      <c r="QJ44" s="156"/>
      <c r="QK44" s="156"/>
      <c r="QL44" s="156"/>
      <c r="QM44" s="156"/>
      <c r="QN44" s="156"/>
      <c r="QO44" s="156"/>
      <c r="QP44" s="156"/>
      <c r="QQ44" s="156"/>
      <c r="QR44" s="156"/>
      <c r="QS44" s="156"/>
      <c r="QT44" s="156"/>
    </row>
    <row r="45" spans="1:462">
      <c r="KM45" s="156"/>
      <c r="KN45" s="156"/>
      <c r="KO45" s="156"/>
      <c r="KP45" s="156"/>
      <c r="KR45" s="156"/>
      <c r="KS45" s="156"/>
      <c r="KT45" s="156"/>
      <c r="KU45" s="156"/>
      <c r="KV45" s="156"/>
      <c r="KW45" s="156"/>
      <c r="KX45" s="156"/>
      <c r="KY45" s="156"/>
      <c r="KZ45" s="156"/>
      <c r="LA45" s="156"/>
      <c r="LB45" s="156"/>
      <c r="LC45" s="156"/>
      <c r="LD45" s="156"/>
      <c r="LE45" s="156"/>
      <c r="LF45" s="156"/>
      <c r="LG45" s="156"/>
      <c r="LH45" s="156"/>
      <c r="LI45" s="156"/>
      <c r="LJ45" s="156"/>
      <c r="LK45" s="156"/>
      <c r="LL45" s="156"/>
      <c r="LM45" s="156"/>
      <c r="LN45" s="156"/>
      <c r="LO45" s="156"/>
      <c r="LP45" s="156"/>
      <c r="LQ45" s="156"/>
      <c r="LR45" s="156"/>
      <c r="LS45" s="156"/>
      <c r="LT45" s="156"/>
      <c r="LU45" s="156"/>
      <c r="LV45" s="156"/>
      <c r="LW45" s="156"/>
      <c r="LX45" s="156"/>
      <c r="LY45" s="156"/>
      <c r="LZ45" s="156"/>
      <c r="MA45" s="156"/>
      <c r="MB45" s="156"/>
      <c r="MC45" s="156"/>
      <c r="MD45" s="156"/>
      <c r="ME45" s="156"/>
      <c r="MF45" s="156"/>
      <c r="MG45" s="156"/>
      <c r="MH45" s="156"/>
      <c r="MI45" s="156"/>
      <c r="MJ45" s="156"/>
      <c r="MK45" s="156"/>
      <c r="ML45" s="156"/>
      <c r="MM45" s="156"/>
      <c r="MN45" s="156"/>
      <c r="MO45" s="156"/>
      <c r="MP45" s="156"/>
      <c r="MQ45" s="156"/>
      <c r="MR45" s="156"/>
      <c r="MS45" s="156"/>
      <c r="MT45" s="156"/>
      <c r="MU45" s="156"/>
      <c r="MV45" s="156"/>
      <c r="MW45" s="156"/>
      <c r="MX45" s="156"/>
      <c r="MY45" s="156"/>
      <c r="MZ45" s="156"/>
      <c r="NA45" s="156"/>
      <c r="NB45" s="156"/>
      <c r="NC45" s="156"/>
      <c r="ND45" s="156"/>
      <c r="NE45" s="156"/>
      <c r="NF45" s="156"/>
      <c r="NG45" s="156"/>
      <c r="NH45" s="156"/>
      <c r="NI45" s="156"/>
      <c r="NJ45" s="156"/>
      <c r="NK45" s="156"/>
      <c r="NL45" s="156"/>
      <c r="NM45" s="156"/>
      <c r="NN45" s="156"/>
      <c r="NO45" s="156"/>
      <c r="NP45" s="156"/>
      <c r="NQ45" s="156"/>
      <c r="NR45" s="156"/>
      <c r="NS45" s="156"/>
      <c r="NT45" s="156"/>
      <c r="NU45" s="156"/>
      <c r="NV45" s="156"/>
      <c r="NW45" s="156"/>
      <c r="NX45" s="156"/>
      <c r="NY45" s="156"/>
      <c r="NZ45" s="156"/>
      <c r="OA45" s="156"/>
      <c r="OB45" s="156"/>
      <c r="OC45" s="156"/>
      <c r="OD45" s="156"/>
      <c r="OE45" s="156"/>
      <c r="OF45" s="156"/>
      <c r="OG45" s="156"/>
      <c r="OH45" s="156"/>
      <c r="OI45" s="156"/>
      <c r="OJ45" s="156"/>
      <c r="OK45" s="156"/>
      <c r="OL45" s="156"/>
      <c r="OM45" s="156"/>
      <c r="ON45" s="162" t="s">
        <v>80</v>
      </c>
      <c r="OO45" s="155">
        <v>1234695</v>
      </c>
      <c r="OP45" s="155">
        <v>-88343</v>
      </c>
      <c r="OQ45" s="155">
        <v>-204787</v>
      </c>
      <c r="OR45" s="179">
        <v>8646833</v>
      </c>
      <c r="OS45" s="156"/>
      <c r="OT45" s="155">
        <v>1069434</v>
      </c>
      <c r="OU45" s="155">
        <v>89056</v>
      </c>
      <c r="OV45" s="155">
        <v>-23575</v>
      </c>
      <c r="OW45" s="179">
        <v>8646833</v>
      </c>
      <c r="OX45" s="156"/>
      <c r="OY45" s="155">
        <v>1063065</v>
      </c>
      <c r="OZ45" s="155">
        <v>-129465</v>
      </c>
      <c r="PA45" s="155">
        <v>-258674</v>
      </c>
      <c r="PB45" s="179">
        <v>8646833</v>
      </c>
      <c r="PC45" s="156"/>
      <c r="PD45" s="156"/>
      <c r="PE45" s="156"/>
      <c r="PF45" s="156"/>
      <c r="PG45" s="156"/>
      <c r="PH45" s="156"/>
      <c r="PI45" s="156"/>
      <c r="PJ45" s="156"/>
      <c r="PK45" s="156"/>
      <c r="PL45" s="156"/>
      <c r="PM45" s="156"/>
      <c r="PN45" s="156"/>
      <c r="PO45" s="156"/>
      <c r="PP45" s="156"/>
      <c r="PQ45" s="156"/>
      <c r="PR45" s="156"/>
      <c r="PS45" s="156"/>
      <c r="PT45" s="156"/>
      <c r="PU45" s="156"/>
      <c r="PV45" s="156"/>
      <c r="PW45" s="156"/>
      <c r="PX45" s="156"/>
      <c r="PY45" s="156"/>
      <c r="PZ45" s="156"/>
      <c r="QA45" s="156"/>
      <c r="QB45" s="156"/>
      <c r="QC45" s="156"/>
      <c r="QD45" s="156"/>
      <c r="QE45" s="156"/>
      <c r="QF45" s="156"/>
      <c r="QG45" s="156"/>
      <c r="QH45" s="156"/>
      <c r="QI45" s="156"/>
      <c r="QJ45" s="156"/>
      <c r="QK45" s="156"/>
      <c r="QL45" s="156"/>
      <c r="QM45" s="156"/>
      <c r="QN45" s="156"/>
      <c r="QO45" s="156"/>
      <c r="QP45" s="156"/>
      <c r="QQ45" s="156"/>
      <c r="QR45" s="156"/>
      <c r="QS45" s="156"/>
      <c r="QT45" s="156"/>
    </row>
    <row r="46" spans="1:462">
      <c r="KM46" s="156"/>
      <c r="KN46" s="156"/>
      <c r="KO46" s="156"/>
      <c r="KP46" s="156"/>
      <c r="KR46" s="156"/>
      <c r="KS46" s="156"/>
      <c r="KT46" s="156"/>
      <c r="KU46" s="156"/>
      <c r="KV46" s="156"/>
      <c r="KW46" s="156"/>
      <c r="KX46" s="156"/>
      <c r="KY46" s="156"/>
      <c r="KZ46" s="156"/>
      <c r="LA46" s="156"/>
      <c r="LB46" s="156"/>
      <c r="LC46" s="156"/>
      <c r="LD46" s="156"/>
      <c r="LE46" s="156"/>
      <c r="LF46" s="156"/>
      <c r="LG46" s="156"/>
      <c r="LH46" s="156"/>
      <c r="LI46" s="156"/>
      <c r="LJ46" s="156"/>
      <c r="LK46" s="156"/>
      <c r="LL46" s="156"/>
      <c r="LM46" s="156"/>
      <c r="LN46" s="156"/>
      <c r="LO46" s="156"/>
      <c r="LP46" s="156"/>
      <c r="LQ46" s="156"/>
      <c r="LR46" s="156"/>
      <c r="LS46" s="156"/>
      <c r="LT46" s="156"/>
      <c r="LU46" s="156"/>
      <c r="LV46" s="156"/>
      <c r="LW46" s="156"/>
      <c r="LX46" s="156"/>
      <c r="LY46" s="156"/>
      <c r="LZ46" s="156"/>
      <c r="MA46" s="156"/>
      <c r="MB46" s="156"/>
      <c r="MC46" s="156"/>
      <c r="MD46" s="156"/>
      <c r="ME46" s="156"/>
      <c r="MF46" s="156"/>
      <c r="MG46" s="156"/>
      <c r="MH46" s="156"/>
      <c r="MI46" s="156"/>
      <c r="MJ46" s="156"/>
      <c r="MK46" s="156"/>
      <c r="ML46" s="156"/>
      <c r="MM46" s="156"/>
      <c r="MN46" s="156"/>
      <c r="MO46" s="156"/>
      <c r="MP46" s="156"/>
      <c r="MQ46" s="156"/>
      <c r="MR46" s="156"/>
      <c r="MS46" s="156"/>
      <c r="MT46" s="156"/>
      <c r="MU46" s="156"/>
      <c r="MV46" s="156"/>
      <c r="MW46" s="156"/>
      <c r="MX46" s="156"/>
      <c r="MY46" s="156"/>
      <c r="MZ46" s="156"/>
      <c r="NA46" s="156"/>
      <c r="NB46" s="156"/>
      <c r="NC46" s="156"/>
      <c r="ND46" s="156"/>
      <c r="NE46" s="156"/>
      <c r="NF46" s="156"/>
      <c r="NG46" s="156"/>
      <c r="NH46" s="156"/>
      <c r="NI46" s="156"/>
      <c r="NJ46" s="156"/>
      <c r="NK46" s="156"/>
      <c r="NL46" s="156"/>
      <c r="NM46" s="156"/>
      <c r="NN46" s="156"/>
      <c r="NO46" s="156"/>
      <c r="NP46" s="156"/>
      <c r="NQ46" s="156"/>
      <c r="NR46" s="156"/>
      <c r="NS46" s="156"/>
      <c r="NT46" s="156"/>
      <c r="NU46" s="156"/>
      <c r="NV46" s="156"/>
      <c r="NW46" s="156"/>
      <c r="NX46" s="156"/>
      <c r="NY46" s="156"/>
      <c r="NZ46" s="156"/>
      <c r="OA46" s="156"/>
      <c r="OB46" s="156"/>
      <c r="OC46" s="156"/>
      <c r="OD46" s="156"/>
      <c r="OE46" s="156"/>
      <c r="OF46" s="156"/>
      <c r="OG46" s="156"/>
      <c r="OH46" s="156"/>
      <c r="OI46" s="156"/>
      <c r="OJ46" s="156"/>
      <c r="OK46" s="156"/>
      <c r="OL46" s="156"/>
      <c r="OM46" s="156"/>
      <c r="ON46" s="162" t="s">
        <v>81</v>
      </c>
      <c r="OO46" s="155">
        <v>75595</v>
      </c>
      <c r="OP46" s="155">
        <v>51721</v>
      </c>
      <c r="OQ46" s="155">
        <v>36103</v>
      </c>
      <c r="OR46" s="179">
        <v>1944940</v>
      </c>
      <c r="OS46" s="156"/>
      <c r="OT46" s="155">
        <v>36445</v>
      </c>
      <c r="OU46" s="155">
        <v>21782</v>
      </c>
      <c r="OV46" s="155">
        <v>12906</v>
      </c>
      <c r="OW46" s="179">
        <v>1944940</v>
      </c>
      <c r="OX46" s="156"/>
      <c r="OY46" s="155">
        <v>50919</v>
      </c>
      <c r="OZ46" s="155">
        <v>34878</v>
      </c>
      <c r="PA46" s="155">
        <v>25991</v>
      </c>
      <c r="PB46" s="179">
        <v>1944940</v>
      </c>
      <c r="PC46" s="156"/>
      <c r="PD46" s="156"/>
      <c r="PE46" s="156"/>
      <c r="PF46" s="156"/>
      <c r="PG46" s="156"/>
      <c r="PH46" s="156"/>
      <c r="PI46" s="156"/>
      <c r="PJ46" s="156"/>
      <c r="PK46" s="156"/>
      <c r="PL46" s="156"/>
      <c r="PM46" s="156"/>
      <c r="PN46" s="156"/>
      <c r="PO46" s="156"/>
      <c r="PP46" s="156"/>
      <c r="PQ46" s="156"/>
      <c r="PR46" s="156"/>
      <c r="PS46" s="156"/>
      <c r="PT46" s="156"/>
      <c r="PU46" s="156"/>
      <c r="PV46" s="156"/>
      <c r="PW46" s="156"/>
      <c r="PX46" s="156"/>
      <c r="PY46" s="156"/>
      <c r="PZ46" s="156"/>
      <c r="QA46" s="156"/>
      <c r="QB46" s="156"/>
      <c r="QC46" s="156"/>
      <c r="QD46" s="156"/>
      <c r="QE46" s="156"/>
      <c r="QF46" s="156"/>
      <c r="QG46" s="156"/>
      <c r="QH46" s="156"/>
      <c r="QI46" s="156"/>
      <c r="QJ46" s="156"/>
      <c r="QK46" s="156"/>
      <c r="QL46" s="156"/>
      <c r="QM46" s="156"/>
      <c r="QN46" s="156"/>
      <c r="QO46" s="156"/>
      <c r="QP46" s="156"/>
      <c r="QQ46" s="156"/>
      <c r="QR46" s="156"/>
      <c r="QS46" s="156"/>
      <c r="QT46" s="156"/>
    </row>
    <row r="47" spans="1:462">
      <c r="KM47" s="156"/>
      <c r="KN47" s="156"/>
      <c r="KO47" s="156"/>
      <c r="KP47" s="156"/>
      <c r="KR47" s="156"/>
      <c r="KS47" s="156"/>
      <c r="KT47" s="156"/>
      <c r="KU47" s="156"/>
      <c r="KV47" s="156"/>
      <c r="KW47" s="156"/>
      <c r="KX47" s="156"/>
      <c r="KY47" s="156"/>
      <c r="KZ47" s="156"/>
      <c r="LA47" s="156"/>
      <c r="LB47" s="156"/>
      <c r="LC47" s="156"/>
      <c r="LD47" s="156"/>
      <c r="LE47" s="156"/>
      <c r="LF47" s="156"/>
      <c r="LG47" s="156"/>
      <c r="LH47" s="156"/>
      <c r="LI47" s="156"/>
      <c r="LJ47" s="156"/>
      <c r="LK47" s="156"/>
      <c r="LL47" s="156"/>
      <c r="LM47" s="156"/>
      <c r="LN47" s="156"/>
      <c r="LO47" s="156"/>
      <c r="LP47" s="156"/>
      <c r="LQ47" s="156"/>
      <c r="LR47" s="156"/>
      <c r="LS47" s="156"/>
      <c r="LT47" s="156"/>
      <c r="LU47" s="156"/>
      <c r="LV47" s="156"/>
      <c r="LW47" s="156"/>
      <c r="LX47" s="156"/>
      <c r="LY47" s="156"/>
      <c r="LZ47" s="156"/>
      <c r="MA47" s="156"/>
      <c r="MB47" s="156"/>
      <c r="MC47" s="156"/>
      <c r="MD47" s="156"/>
      <c r="ME47" s="156"/>
      <c r="MF47" s="156"/>
      <c r="MG47" s="156"/>
      <c r="MH47" s="156"/>
      <c r="MI47" s="156"/>
      <c r="MJ47" s="156"/>
      <c r="MK47" s="156"/>
      <c r="ML47" s="156"/>
      <c r="MM47" s="156"/>
      <c r="MN47" s="156"/>
      <c r="MO47" s="156"/>
      <c r="MP47" s="156"/>
      <c r="MQ47" s="156"/>
      <c r="MR47" s="156"/>
      <c r="MS47" s="156"/>
      <c r="MT47" s="156"/>
      <c r="MU47" s="156"/>
      <c r="MV47" s="156"/>
      <c r="MW47" s="156"/>
      <c r="MX47" s="156"/>
      <c r="MY47" s="156"/>
      <c r="MZ47" s="156"/>
      <c r="NA47" s="156"/>
      <c r="NB47" s="156"/>
      <c r="NC47" s="156"/>
      <c r="ND47" s="156"/>
      <c r="NE47" s="156"/>
      <c r="NF47" s="156"/>
      <c r="NG47" s="156"/>
      <c r="NH47" s="156"/>
      <c r="NI47" s="156"/>
      <c r="NJ47" s="156"/>
      <c r="NK47" s="156"/>
      <c r="NL47" s="156"/>
      <c r="NM47" s="156"/>
      <c r="NN47" s="156"/>
      <c r="NO47" s="156"/>
      <c r="NP47" s="156"/>
      <c r="NQ47" s="156"/>
      <c r="NR47" s="156"/>
      <c r="NS47" s="156"/>
      <c r="NT47" s="156"/>
      <c r="NU47" s="156"/>
      <c r="NV47" s="156"/>
      <c r="NW47" s="156"/>
      <c r="NX47" s="156"/>
      <c r="NY47" s="156"/>
      <c r="NZ47" s="156"/>
      <c r="OA47" s="156"/>
      <c r="OB47" s="156"/>
      <c r="OC47" s="156"/>
      <c r="OD47" s="156"/>
      <c r="OE47" s="156"/>
      <c r="OF47" s="156"/>
      <c r="OG47" s="156"/>
      <c r="OH47" s="156"/>
      <c r="OI47" s="156"/>
      <c r="OJ47" s="156"/>
      <c r="OK47" s="156"/>
      <c r="OL47" s="156"/>
      <c r="OM47" s="156"/>
      <c r="ON47" s="162" t="s">
        <v>82</v>
      </c>
      <c r="OO47" s="155">
        <v>412047</v>
      </c>
      <c r="OP47" s="155">
        <v>70560</v>
      </c>
      <c r="OQ47" s="155">
        <v>34808</v>
      </c>
      <c r="OR47" s="155">
        <v>2169616</v>
      </c>
      <c r="OS47" s="156"/>
      <c r="OT47" s="155">
        <v>242199</v>
      </c>
      <c r="OU47" s="155">
        <v>32175</v>
      </c>
      <c r="OV47" s="155">
        <v>1157</v>
      </c>
      <c r="OW47" s="155">
        <v>2169616</v>
      </c>
      <c r="OX47" s="156"/>
      <c r="OY47" s="155">
        <v>261695</v>
      </c>
      <c r="OZ47" s="155">
        <v>27278</v>
      </c>
      <c r="PA47" s="155">
        <v>-1712</v>
      </c>
      <c r="PB47" s="155">
        <v>2169616</v>
      </c>
      <c r="PC47" s="156"/>
      <c r="PD47" s="156"/>
      <c r="PE47" s="156"/>
      <c r="PF47" s="156"/>
      <c r="PG47" s="156"/>
      <c r="PH47" s="156"/>
      <c r="PI47" s="156"/>
      <c r="PJ47" s="156"/>
      <c r="PK47" s="156"/>
      <c r="PL47" s="156"/>
      <c r="PM47" s="156"/>
      <c r="PN47" s="156"/>
      <c r="PO47" s="156"/>
      <c r="PP47" s="156"/>
      <c r="PQ47" s="156"/>
      <c r="PR47" s="156"/>
      <c r="PS47" s="156"/>
      <c r="PT47" s="156"/>
      <c r="PU47" s="156"/>
      <c r="PV47" s="156"/>
      <c r="PW47" s="156"/>
      <c r="PX47" s="156"/>
      <c r="PY47" s="156"/>
      <c r="PZ47" s="156"/>
      <c r="QA47" s="156"/>
      <c r="QB47" s="156"/>
      <c r="QC47" s="156"/>
      <c r="QD47" s="156"/>
      <c r="QE47" s="156"/>
      <c r="QF47" s="156"/>
      <c r="QG47" s="156"/>
      <c r="QH47" s="156"/>
      <c r="QI47" s="156"/>
      <c r="QJ47" s="156"/>
      <c r="QK47" s="156"/>
      <c r="QL47" s="156"/>
      <c r="QM47" s="156"/>
      <c r="QN47" s="156"/>
      <c r="QO47" s="156"/>
      <c r="QP47" s="156"/>
      <c r="QQ47" s="156"/>
      <c r="QR47" s="156"/>
      <c r="QS47" s="156"/>
      <c r="QT47" s="156"/>
    </row>
    <row r="48" spans="1:462">
      <c r="KM48" s="156"/>
      <c r="KN48" s="156"/>
      <c r="KO48" s="156"/>
      <c r="KP48" s="156"/>
      <c r="KR48" s="156"/>
      <c r="KS48" s="156"/>
      <c r="KT48" s="156"/>
      <c r="KU48" s="156"/>
      <c r="KV48" s="156"/>
      <c r="KW48" s="156"/>
      <c r="KX48" s="156"/>
      <c r="KY48" s="156"/>
      <c r="KZ48" s="156"/>
      <c r="LA48" s="156"/>
      <c r="LB48" s="156"/>
      <c r="LC48" s="156"/>
      <c r="LD48" s="156"/>
      <c r="LE48" s="156"/>
      <c r="LF48" s="156"/>
      <c r="LG48" s="156"/>
      <c r="LH48" s="156"/>
      <c r="LI48" s="156"/>
      <c r="LJ48" s="156"/>
      <c r="LK48" s="156"/>
      <c r="LL48" s="156"/>
      <c r="LM48" s="156"/>
      <c r="LN48" s="156"/>
      <c r="LO48" s="156"/>
      <c r="LP48" s="156"/>
      <c r="LQ48" s="156"/>
      <c r="LR48" s="156"/>
      <c r="LS48" s="156"/>
      <c r="LT48" s="156"/>
      <c r="LU48" s="156"/>
      <c r="LV48" s="156"/>
      <c r="LW48" s="156"/>
      <c r="LX48" s="156"/>
      <c r="LY48" s="156"/>
      <c r="LZ48" s="156"/>
      <c r="MA48" s="156"/>
      <c r="MB48" s="156"/>
      <c r="MC48" s="156"/>
      <c r="MD48" s="156"/>
      <c r="ME48" s="156"/>
      <c r="MF48" s="156"/>
      <c r="MG48" s="156"/>
      <c r="MH48" s="156"/>
      <c r="MI48" s="156"/>
      <c r="MJ48" s="156"/>
      <c r="MK48" s="156"/>
      <c r="ML48" s="156"/>
      <c r="MM48" s="156"/>
      <c r="MN48" s="156"/>
      <c r="MO48" s="156"/>
      <c r="MP48" s="156"/>
      <c r="MQ48" s="156"/>
      <c r="MR48" s="156"/>
      <c r="MS48" s="156"/>
      <c r="MT48" s="156"/>
      <c r="MU48" s="156"/>
      <c r="MV48" s="156"/>
      <c r="MW48" s="156"/>
      <c r="MX48" s="156"/>
      <c r="MY48" s="156"/>
      <c r="MZ48" s="156"/>
      <c r="NA48" s="156"/>
      <c r="NB48" s="156"/>
      <c r="NC48" s="156"/>
      <c r="ND48" s="156"/>
      <c r="NE48" s="156"/>
      <c r="NF48" s="156"/>
      <c r="NG48" s="156"/>
      <c r="NH48" s="156"/>
      <c r="NI48" s="156"/>
      <c r="NJ48" s="156"/>
      <c r="NK48" s="156"/>
      <c r="NL48" s="156"/>
      <c r="NM48" s="156"/>
      <c r="NN48" s="156"/>
      <c r="NO48" s="156"/>
      <c r="NP48" s="156"/>
      <c r="NQ48" s="156"/>
      <c r="NR48" s="156"/>
      <c r="NS48" s="156"/>
      <c r="NT48" s="156"/>
      <c r="NU48" s="156"/>
      <c r="NV48" s="156"/>
      <c r="NW48" s="156"/>
      <c r="NX48" s="156"/>
      <c r="NY48" s="156"/>
      <c r="NZ48" s="156"/>
      <c r="OA48" s="156"/>
      <c r="OB48" s="156"/>
      <c r="OC48" s="156"/>
      <c r="OD48" s="156"/>
      <c r="OE48" s="156"/>
      <c r="OF48" s="156"/>
      <c r="OG48" s="156"/>
      <c r="OH48" s="156"/>
      <c r="OI48" s="156"/>
      <c r="OJ48" s="156"/>
      <c r="OK48" s="156"/>
      <c r="OL48" s="156"/>
      <c r="OM48" s="156"/>
      <c r="ON48" s="162" t="s">
        <v>83</v>
      </c>
      <c r="OO48" s="155">
        <v>1546279</v>
      </c>
      <c r="OP48" s="155">
        <v>507686</v>
      </c>
      <c r="OQ48" s="155">
        <v>271310</v>
      </c>
      <c r="OR48" s="179">
        <v>14002290</v>
      </c>
      <c r="OS48" s="156"/>
      <c r="OT48" s="155">
        <v>1440387</v>
      </c>
      <c r="OU48" s="155">
        <v>596593</v>
      </c>
      <c r="OV48" s="155">
        <v>368174</v>
      </c>
      <c r="OW48" s="179">
        <v>14002290</v>
      </c>
      <c r="OX48" s="156"/>
      <c r="OY48" s="155">
        <v>1469113</v>
      </c>
      <c r="OZ48" s="155">
        <v>577973</v>
      </c>
      <c r="PA48" s="155">
        <v>354207</v>
      </c>
      <c r="PB48" s="179">
        <v>14002290</v>
      </c>
      <c r="PC48" s="156"/>
      <c r="PD48" s="156"/>
      <c r="PE48" s="156"/>
      <c r="PF48" s="156"/>
      <c r="PG48" s="156"/>
      <c r="PH48" s="156"/>
      <c r="PI48" s="156"/>
      <c r="PJ48" s="156"/>
      <c r="PK48" s="156"/>
      <c r="PL48" s="156"/>
      <c r="PM48" s="156"/>
      <c r="PN48" s="156"/>
      <c r="PO48" s="156"/>
      <c r="PP48" s="156"/>
      <c r="PQ48" s="156"/>
      <c r="PR48" s="156"/>
      <c r="PS48" s="156"/>
      <c r="PT48" s="156"/>
      <c r="PU48" s="156"/>
      <c r="PV48" s="156"/>
      <c r="PW48" s="156"/>
      <c r="PX48" s="156"/>
      <c r="PY48" s="156"/>
      <c r="PZ48" s="156"/>
      <c r="QA48" s="156"/>
      <c r="QB48" s="156"/>
      <c r="QC48" s="156"/>
      <c r="QD48" s="156"/>
      <c r="QE48" s="156"/>
      <c r="QF48" s="156"/>
      <c r="QG48" s="156"/>
      <c r="QH48" s="156"/>
      <c r="QI48" s="156"/>
      <c r="QJ48" s="156"/>
      <c r="QK48" s="156"/>
      <c r="QL48" s="156"/>
      <c r="QM48" s="156"/>
      <c r="QN48" s="156"/>
      <c r="QO48" s="156"/>
      <c r="QP48" s="156"/>
      <c r="QQ48" s="156"/>
      <c r="QR48" s="156"/>
      <c r="QS48" s="156"/>
      <c r="QT48" s="156"/>
    </row>
    <row r="49" spans="299:462">
      <c r="KM49" s="156"/>
      <c r="KN49" s="156"/>
      <c r="KO49" s="156"/>
      <c r="KP49" s="156"/>
      <c r="KR49" s="156"/>
      <c r="KS49" s="156"/>
      <c r="KT49" s="156"/>
      <c r="KU49" s="156"/>
      <c r="KV49" s="156"/>
      <c r="KW49" s="156"/>
      <c r="KX49" s="156"/>
      <c r="KY49" s="156"/>
      <c r="KZ49" s="156"/>
      <c r="LA49" s="156"/>
      <c r="LB49" s="156"/>
      <c r="LC49" s="156"/>
      <c r="LD49" s="156"/>
      <c r="LE49" s="156"/>
      <c r="LF49" s="156"/>
      <c r="LG49" s="156"/>
      <c r="LH49" s="156"/>
      <c r="LI49" s="156"/>
      <c r="LJ49" s="156"/>
      <c r="LK49" s="156"/>
      <c r="LL49" s="156"/>
      <c r="LM49" s="156"/>
      <c r="LN49" s="156"/>
      <c r="LO49" s="156"/>
      <c r="LP49" s="156"/>
      <c r="LQ49" s="156"/>
      <c r="LR49" s="156"/>
      <c r="LS49" s="156"/>
      <c r="LT49" s="156"/>
      <c r="LU49" s="156"/>
      <c r="LV49" s="156"/>
      <c r="LW49" s="156"/>
      <c r="LX49" s="156"/>
      <c r="LY49" s="156"/>
      <c r="LZ49" s="156"/>
      <c r="MA49" s="156"/>
      <c r="MB49" s="156"/>
      <c r="MC49" s="156"/>
      <c r="MD49" s="156"/>
      <c r="ME49" s="156"/>
      <c r="MF49" s="156"/>
      <c r="MG49" s="156"/>
      <c r="MH49" s="156"/>
      <c r="MI49" s="156"/>
      <c r="MJ49" s="156"/>
      <c r="MK49" s="156"/>
      <c r="ML49" s="156"/>
      <c r="MM49" s="156"/>
      <c r="MN49" s="156"/>
      <c r="MO49" s="156"/>
      <c r="MP49" s="156"/>
      <c r="MQ49" s="156"/>
      <c r="MR49" s="156"/>
      <c r="MS49" s="156"/>
      <c r="MT49" s="156"/>
      <c r="MU49" s="156"/>
      <c r="MV49" s="156"/>
      <c r="MW49" s="156"/>
      <c r="MX49" s="156"/>
      <c r="MY49" s="156"/>
      <c r="MZ49" s="156"/>
      <c r="NA49" s="156"/>
      <c r="NB49" s="156"/>
      <c r="NC49" s="156"/>
      <c r="ND49" s="156"/>
      <c r="NE49" s="156"/>
      <c r="NF49" s="156"/>
      <c r="NG49" s="156"/>
      <c r="NH49" s="156"/>
      <c r="NI49" s="156"/>
      <c r="NJ49" s="156"/>
      <c r="NK49" s="156"/>
      <c r="NL49" s="156"/>
      <c r="NM49" s="156"/>
      <c r="NN49" s="156"/>
      <c r="NO49" s="156"/>
      <c r="NP49" s="156"/>
      <c r="NQ49" s="156"/>
      <c r="NR49" s="156"/>
      <c r="NS49" s="156"/>
      <c r="NT49" s="156"/>
      <c r="NU49" s="156"/>
      <c r="NV49" s="156"/>
      <c r="NW49" s="156"/>
      <c r="NX49" s="156"/>
      <c r="NY49" s="156"/>
      <c r="NZ49" s="156"/>
      <c r="OA49" s="156"/>
      <c r="OB49" s="156"/>
      <c r="OC49" s="156"/>
      <c r="OD49" s="156"/>
      <c r="OE49" s="156"/>
      <c r="OF49" s="156"/>
      <c r="OG49" s="156"/>
      <c r="OH49" s="156"/>
      <c r="OI49" s="156"/>
      <c r="OJ49" s="156"/>
      <c r="OK49" s="156"/>
      <c r="OL49" s="156"/>
      <c r="OM49" s="156"/>
      <c r="ON49" s="162" t="s">
        <v>84</v>
      </c>
      <c r="OO49" s="155">
        <v>4716134</v>
      </c>
      <c r="OP49" s="155">
        <v>152054</v>
      </c>
      <c r="OQ49" s="155">
        <v>143572</v>
      </c>
      <c r="OR49" s="179">
        <v>3111539</v>
      </c>
      <c r="OS49" s="156"/>
      <c r="OT49" s="155">
        <v>4307905</v>
      </c>
      <c r="OU49" s="155">
        <v>151423</v>
      </c>
      <c r="OV49" s="155">
        <v>142487</v>
      </c>
      <c r="OW49" s="179">
        <v>3111539</v>
      </c>
      <c r="OX49" s="156"/>
      <c r="OY49" s="155">
        <v>4202695</v>
      </c>
      <c r="OZ49" s="155">
        <v>247856</v>
      </c>
      <c r="PA49" s="155">
        <v>239409</v>
      </c>
      <c r="PB49" s="179">
        <v>3111539</v>
      </c>
      <c r="PC49" s="156"/>
      <c r="PD49" s="156"/>
      <c r="PE49" s="156"/>
      <c r="PF49" s="156"/>
      <c r="PG49" s="156"/>
      <c r="PH49" s="156"/>
      <c r="PI49" s="156"/>
      <c r="PJ49" s="156"/>
      <c r="PK49" s="156"/>
      <c r="PL49" s="156"/>
      <c r="PM49" s="156"/>
      <c r="PN49" s="156"/>
      <c r="PO49" s="156"/>
      <c r="PP49" s="156"/>
      <c r="PQ49" s="156"/>
      <c r="PR49" s="156"/>
      <c r="PS49" s="156"/>
      <c r="PT49" s="156"/>
      <c r="PU49" s="156"/>
      <c r="PV49" s="156"/>
      <c r="PW49" s="156"/>
      <c r="PX49" s="156"/>
      <c r="PY49" s="156"/>
      <c r="PZ49" s="156"/>
      <c r="QA49" s="156"/>
      <c r="QB49" s="156"/>
      <c r="QC49" s="156"/>
      <c r="QD49" s="156"/>
      <c r="QE49" s="156"/>
      <c r="QF49" s="156"/>
      <c r="QG49" s="156"/>
      <c r="QH49" s="156"/>
      <c r="QI49" s="156"/>
      <c r="QJ49" s="156"/>
      <c r="QK49" s="156"/>
      <c r="QL49" s="156"/>
      <c r="QM49" s="156"/>
      <c r="QN49" s="156"/>
      <c r="QO49" s="156"/>
      <c r="QP49" s="156"/>
      <c r="QQ49" s="156"/>
      <c r="QR49" s="156"/>
      <c r="QS49" s="156"/>
      <c r="QT49" s="156"/>
    </row>
    <row r="50" spans="299:462">
      <c r="KM50" s="156"/>
      <c r="KN50" s="156"/>
      <c r="KO50" s="156"/>
      <c r="KP50" s="156"/>
      <c r="KR50" s="156"/>
      <c r="KS50" s="156"/>
      <c r="KT50" s="156"/>
      <c r="KU50" s="156"/>
      <c r="KV50" s="156"/>
      <c r="KW50" s="156"/>
      <c r="KX50" s="156"/>
      <c r="KY50" s="156"/>
      <c r="KZ50" s="156"/>
      <c r="LA50" s="156"/>
      <c r="LB50" s="156"/>
      <c r="LC50" s="156"/>
      <c r="LD50" s="156"/>
      <c r="LE50" s="156"/>
      <c r="LF50" s="156"/>
      <c r="LG50" s="156"/>
      <c r="LH50" s="156"/>
      <c r="LI50" s="156"/>
      <c r="LJ50" s="156"/>
      <c r="LK50" s="156"/>
      <c r="LL50" s="156"/>
      <c r="LM50" s="156"/>
      <c r="LN50" s="156"/>
      <c r="LO50" s="156"/>
      <c r="LP50" s="156"/>
      <c r="LQ50" s="156"/>
      <c r="LR50" s="156"/>
      <c r="LS50" s="156"/>
      <c r="LT50" s="156"/>
      <c r="LU50" s="156"/>
      <c r="LV50" s="156"/>
      <c r="LW50" s="156"/>
      <c r="LX50" s="156"/>
      <c r="LY50" s="156"/>
      <c r="LZ50" s="156"/>
      <c r="MA50" s="156"/>
      <c r="MB50" s="156"/>
      <c r="MC50" s="156"/>
      <c r="MD50" s="156"/>
      <c r="ME50" s="156"/>
      <c r="MF50" s="156"/>
      <c r="MG50" s="156"/>
      <c r="MH50" s="156"/>
      <c r="MI50" s="156"/>
      <c r="MJ50" s="156"/>
      <c r="MK50" s="156"/>
      <c r="ML50" s="156"/>
      <c r="MM50" s="156"/>
      <c r="MN50" s="156"/>
      <c r="MO50" s="156"/>
      <c r="MP50" s="156"/>
      <c r="MQ50" s="156"/>
      <c r="MR50" s="156"/>
      <c r="MS50" s="156"/>
      <c r="MT50" s="156"/>
      <c r="MU50" s="156"/>
      <c r="MV50" s="156"/>
      <c r="MW50" s="156"/>
      <c r="MX50" s="156"/>
      <c r="MY50" s="156"/>
      <c r="MZ50" s="156"/>
      <c r="NA50" s="156"/>
      <c r="NB50" s="156"/>
      <c r="NC50" s="156"/>
      <c r="ND50" s="156"/>
      <c r="NE50" s="156"/>
      <c r="NF50" s="156"/>
      <c r="NG50" s="156"/>
      <c r="NH50" s="156"/>
      <c r="NI50" s="156"/>
      <c r="NJ50" s="156"/>
      <c r="NK50" s="156"/>
      <c r="NL50" s="156"/>
      <c r="NM50" s="156"/>
      <c r="NN50" s="156"/>
      <c r="NO50" s="156"/>
      <c r="NP50" s="156"/>
      <c r="NQ50" s="156"/>
      <c r="NR50" s="156"/>
      <c r="NS50" s="156"/>
      <c r="NT50" s="156"/>
      <c r="NU50" s="156"/>
      <c r="NV50" s="156"/>
      <c r="NW50" s="156"/>
      <c r="NX50" s="156"/>
      <c r="NY50" s="156"/>
      <c r="NZ50" s="156"/>
      <c r="OA50" s="156"/>
      <c r="OB50" s="156"/>
      <c r="OC50" s="156"/>
      <c r="OD50" s="156"/>
      <c r="OE50" s="156"/>
      <c r="OF50" s="156"/>
      <c r="OG50" s="156"/>
      <c r="OH50" s="156"/>
      <c r="OI50" s="156"/>
      <c r="OJ50" s="156"/>
      <c r="OK50" s="156"/>
      <c r="OL50" s="156"/>
      <c r="OM50" s="156"/>
      <c r="ON50" s="162" t="s">
        <v>85</v>
      </c>
      <c r="OO50" s="155">
        <v>117604</v>
      </c>
      <c r="OP50" s="155">
        <v>-26269</v>
      </c>
      <c r="OQ50" s="155">
        <v>-32841</v>
      </c>
      <c r="OR50" s="155">
        <v>183519</v>
      </c>
      <c r="OS50" s="156"/>
      <c r="OT50" s="155">
        <v>139772</v>
      </c>
      <c r="OU50" s="155">
        <v>37893</v>
      </c>
      <c r="OV50" s="155">
        <v>32774</v>
      </c>
      <c r="OW50" s="155">
        <v>183519</v>
      </c>
      <c r="OX50" s="156"/>
      <c r="OY50" s="155">
        <v>131113</v>
      </c>
      <c r="OZ50" s="155">
        <v>21556</v>
      </c>
      <c r="PA50" s="155">
        <v>17918</v>
      </c>
      <c r="PB50" s="155">
        <v>183519</v>
      </c>
      <c r="PC50" s="156"/>
      <c r="PD50" s="156"/>
      <c r="PE50" s="156"/>
      <c r="PF50" s="156"/>
      <c r="PG50" s="156"/>
      <c r="PH50" s="156"/>
      <c r="PI50" s="156"/>
      <c r="PJ50" s="156"/>
      <c r="PK50" s="156"/>
      <c r="PL50" s="156"/>
      <c r="PM50" s="156"/>
      <c r="PN50" s="156"/>
      <c r="PO50" s="156"/>
      <c r="PP50" s="156"/>
      <c r="PQ50" s="156"/>
      <c r="PR50" s="156"/>
      <c r="PS50" s="156"/>
      <c r="PT50" s="156"/>
      <c r="PU50" s="156"/>
      <c r="PV50" s="156"/>
      <c r="PW50" s="156"/>
      <c r="PX50" s="156"/>
      <c r="PY50" s="156"/>
      <c r="PZ50" s="156"/>
      <c r="QA50" s="156"/>
      <c r="QB50" s="156"/>
      <c r="QC50" s="156"/>
      <c r="QD50" s="156"/>
      <c r="QE50" s="156"/>
      <c r="QF50" s="156"/>
      <c r="QG50" s="156"/>
      <c r="QH50" s="156"/>
      <c r="QI50" s="156"/>
      <c r="QJ50" s="156"/>
      <c r="QK50" s="156"/>
      <c r="QL50" s="156"/>
      <c r="QM50" s="156"/>
      <c r="QN50" s="156"/>
      <c r="QO50" s="156"/>
      <c r="QP50" s="156"/>
      <c r="QQ50" s="156"/>
      <c r="QR50" s="156"/>
      <c r="QS50" s="156"/>
      <c r="QT50" s="156"/>
    </row>
    <row r="51" spans="299:462">
      <c r="KM51" s="156"/>
      <c r="KN51" s="156"/>
      <c r="KO51" s="156"/>
      <c r="KP51" s="156"/>
      <c r="KR51" s="156"/>
      <c r="KS51" s="156"/>
      <c r="KT51" s="156"/>
      <c r="KU51" s="156"/>
      <c r="KV51" s="156"/>
      <c r="KW51" s="156"/>
      <c r="KX51" s="156"/>
      <c r="KY51" s="156"/>
      <c r="KZ51" s="156"/>
      <c r="LA51" s="156"/>
      <c r="LB51" s="156"/>
      <c r="LC51" s="156"/>
      <c r="LD51" s="156"/>
      <c r="LE51" s="156"/>
      <c r="LF51" s="156"/>
      <c r="LG51" s="156"/>
      <c r="LH51" s="156"/>
      <c r="LI51" s="156"/>
      <c r="LJ51" s="156"/>
      <c r="LK51" s="156"/>
      <c r="LL51" s="156"/>
      <c r="LM51" s="156"/>
      <c r="LN51" s="156"/>
      <c r="LO51" s="156"/>
      <c r="LP51" s="156"/>
      <c r="LQ51" s="156"/>
      <c r="LR51" s="156"/>
      <c r="LS51" s="156"/>
      <c r="LT51" s="156"/>
      <c r="LU51" s="156"/>
      <c r="LV51" s="156"/>
      <c r="LW51" s="156"/>
      <c r="LX51" s="156"/>
      <c r="LY51" s="156"/>
      <c r="LZ51" s="156"/>
      <c r="MA51" s="156"/>
      <c r="MB51" s="156"/>
      <c r="MC51" s="156"/>
      <c r="MD51" s="156"/>
      <c r="ME51" s="156"/>
      <c r="MF51" s="156"/>
      <c r="MG51" s="156"/>
      <c r="MH51" s="156"/>
      <c r="MI51" s="156"/>
      <c r="MJ51" s="156"/>
      <c r="MK51" s="156"/>
      <c r="ML51" s="156"/>
      <c r="MM51" s="156"/>
      <c r="MN51" s="156"/>
      <c r="MO51" s="156"/>
      <c r="MP51" s="156"/>
      <c r="MQ51" s="156"/>
      <c r="MR51" s="156"/>
      <c r="MS51" s="156"/>
      <c r="MT51" s="156"/>
      <c r="MU51" s="156"/>
      <c r="MV51" s="156"/>
      <c r="MW51" s="156"/>
      <c r="MX51" s="156"/>
      <c r="MY51" s="156"/>
      <c r="MZ51" s="156"/>
      <c r="NA51" s="156"/>
      <c r="NB51" s="156"/>
      <c r="NC51" s="156"/>
      <c r="ND51" s="156"/>
      <c r="NE51" s="156"/>
      <c r="NF51" s="156"/>
      <c r="NG51" s="156"/>
      <c r="NH51" s="156"/>
      <c r="NI51" s="156"/>
      <c r="NJ51" s="156"/>
      <c r="NK51" s="156"/>
      <c r="NL51" s="156"/>
      <c r="NM51" s="156"/>
      <c r="NN51" s="156"/>
      <c r="NO51" s="156"/>
      <c r="NP51" s="156"/>
      <c r="NQ51" s="156"/>
      <c r="NR51" s="156"/>
      <c r="NS51" s="156"/>
      <c r="NT51" s="156"/>
      <c r="NU51" s="156"/>
      <c r="NV51" s="156"/>
      <c r="NW51" s="156"/>
      <c r="NX51" s="156"/>
      <c r="NY51" s="156"/>
      <c r="NZ51" s="156"/>
      <c r="OA51" s="156"/>
      <c r="OB51" s="156"/>
      <c r="OC51" s="156"/>
      <c r="OD51" s="156"/>
      <c r="OE51" s="156"/>
      <c r="OF51" s="156"/>
      <c r="OG51" s="156"/>
      <c r="OH51" s="156"/>
      <c r="OI51" s="156"/>
      <c r="OJ51" s="156"/>
      <c r="OK51" s="156"/>
      <c r="OL51" s="156"/>
      <c r="OM51" s="156"/>
      <c r="ON51" s="172" t="s">
        <v>78</v>
      </c>
      <c r="OO51" s="169">
        <v>77093</v>
      </c>
      <c r="OP51" s="169">
        <v>3386</v>
      </c>
      <c r="OQ51" s="169">
        <v>3330</v>
      </c>
      <c r="OR51" s="169">
        <v>170774</v>
      </c>
      <c r="OS51" s="156"/>
      <c r="OT51" s="169">
        <v>67137</v>
      </c>
      <c r="OU51" s="169">
        <v>7908</v>
      </c>
      <c r="OV51" s="169">
        <v>5723</v>
      </c>
      <c r="OW51" s="169">
        <v>170774</v>
      </c>
      <c r="OX51" s="156"/>
      <c r="OY51" s="169">
        <v>62475</v>
      </c>
      <c r="OZ51" s="169">
        <v>3861</v>
      </c>
      <c r="PA51" s="169">
        <v>1662</v>
      </c>
      <c r="PB51" s="169">
        <v>170774</v>
      </c>
      <c r="PC51" s="156"/>
      <c r="PD51" s="156"/>
      <c r="PE51" s="156"/>
      <c r="PF51" s="156"/>
      <c r="PG51" s="156"/>
      <c r="PH51" s="156"/>
      <c r="PI51" s="156"/>
      <c r="PJ51" s="156"/>
      <c r="PK51" s="156"/>
      <c r="PL51" s="156"/>
      <c r="PM51" s="156"/>
      <c r="PN51" s="156"/>
      <c r="PO51" s="156"/>
      <c r="PP51" s="156"/>
      <c r="PQ51" s="156"/>
      <c r="PR51" s="156"/>
      <c r="PS51" s="156"/>
      <c r="PT51" s="156"/>
      <c r="PU51" s="156"/>
      <c r="PV51" s="156"/>
      <c r="PW51" s="156"/>
      <c r="PX51" s="156"/>
      <c r="PY51" s="156"/>
      <c r="PZ51" s="156"/>
      <c r="QA51" s="156"/>
      <c r="QB51" s="156"/>
      <c r="QC51" s="156"/>
      <c r="QD51" s="156"/>
      <c r="QE51" s="156"/>
      <c r="QF51" s="156"/>
      <c r="QG51" s="156"/>
      <c r="QH51" s="156"/>
      <c r="QI51" s="156"/>
      <c r="QJ51" s="156"/>
      <c r="QK51" s="156"/>
      <c r="QL51" s="156"/>
      <c r="QM51" s="156"/>
      <c r="QN51" s="156"/>
      <c r="QO51" s="156"/>
      <c r="QP51" s="156"/>
      <c r="QQ51" s="156"/>
      <c r="QR51" s="156"/>
      <c r="QS51" s="156"/>
      <c r="QT51" s="156"/>
    </row>
  </sheetData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>
    <pageSetUpPr fitToPage="1"/>
  </sheetPr>
  <dimension ref="A1:LV32"/>
  <sheetViews>
    <sheetView zoomScale="115" zoomScaleNormal="115" workbookViewId="0">
      <selection activeCell="L18" sqref="L18"/>
    </sheetView>
  </sheetViews>
  <sheetFormatPr defaultColWidth="9.1796875" defaultRowHeight="14.5"/>
  <cols>
    <col min="1" max="1" width="39.1796875" style="10" customWidth="1"/>
    <col min="2" max="2" width="3.453125" style="10" customWidth="1"/>
    <col min="3" max="3" width="16.81640625" style="322" customWidth="1"/>
    <col min="4" max="4" width="16.81640625" style="156" customWidth="1"/>
    <col min="5" max="5" width="3.81640625" style="10" customWidth="1"/>
    <col min="6" max="6" width="16.81640625" style="322" customWidth="1"/>
    <col min="7" max="7" width="16.81640625" style="156" customWidth="1"/>
    <col min="8" max="8" width="3.81640625" style="10" customWidth="1"/>
    <col min="9" max="10" width="13.453125" style="10" customWidth="1"/>
    <col min="11" max="11" width="3.453125" style="10" customWidth="1"/>
    <col min="12" max="13" width="13.453125" style="10" customWidth="1"/>
    <col min="14" max="14" width="3.453125" style="10" customWidth="1"/>
    <col min="15" max="16" width="13.453125" style="10" customWidth="1"/>
    <col min="17" max="17" width="3.453125" style="10" customWidth="1"/>
    <col min="18" max="18" width="12" style="10" customWidth="1"/>
    <col min="19" max="19" width="13.81640625" style="10" customWidth="1"/>
    <col min="20" max="20" width="3.81640625" style="10" customWidth="1"/>
    <col min="21" max="21" width="12" style="10" customWidth="1"/>
    <col min="22" max="22" width="13.81640625" style="10" customWidth="1"/>
    <col min="23" max="23" width="3.81640625" style="10" customWidth="1"/>
    <col min="24" max="24" width="16.81640625" style="322" customWidth="1"/>
    <col min="25" max="25" width="16.81640625" style="156" customWidth="1"/>
    <col min="26" max="26" width="3.81640625" style="10" customWidth="1"/>
    <col min="27" max="27" width="16.81640625" style="322" customWidth="1"/>
    <col min="28" max="28" width="16.81640625" style="156" customWidth="1"/>
    <col min="29" max="29" width="3.81640625" style="10" customWidth="1"/>
    <col min="30" max="30" width="16.81640625" style="322" customWidth="1"/>
    <col min="31" max="31" width="16.81640625" style="156" customWidth="1"/>
    <col min="32" max="32" width="3.81640625" style="10" customWidth="1"/>
    <col min="33" max="33" width="16.81640625" style="322" customWidth="1"/>
    <col min="34" max="34" width="16.81640625" style="156" customWidth="1"/>
    <col min="35" max="35" width="3.81640625" style="10" customWidth="1"/>
    <col min="36" max="36" width="16.81640625" style="322" customWidth="1"/>
    <col min="37" max="37" width="16.81640625" style="156" customWidth="1"/>
    <col min="38" max="38" width="3.81640625" style="10" customWidth="1"/>
    <col min="39" max="39" width="16.81640625" style="322" customWidth="1"/>
    <col min="40" max="40" width="16.81640625" style="156" customWidth="1"/>
    <col min="41" max="41" width="3.81640625" style="10" customWidth="1"/>
    <col min="42" max="42" width="16.81640625" style="322" customWidth="1"/>
    <col min="43" max="43" width="16.81640625" style="156" customWidth="1"/>
    <col min="44" max="44" width="3.81640625" style="10" customWidth="1"/>
    <col min="45" max="45" width="16.81640625" style="322" customWidth="1"/>
    <col min="46" max="46" width="16.81640625" style="156" customWidth="1"/>
    <col min="47" max="47" width="3.81640625" style="10" customWidth="1"/>
    <col min="48" max="48" width="16.81640625" style="322" customWidth="1"/>
    <col min="49" max="49" width="16.81640625" style="156" customWidth="1"/>
    <col min="50" max="50" width="3.81640625" style="10" customWidth="1"/>
    <col min="51" max="51" width="16.81640625" style="322" customWidth="1"/>
    <col min="52" max="52" width="16.81640625" style="156" customWidth="1"/>
    <col min="53" max="53" width="3.81640625" style="10" customWidth="1"/>
    <col min="54" max="54" width="16.81640625" style="322" customWidth="1"/>
    <col min="55" max="55" width="16.81640625" style="156" customWidth="1"/>
    <col min="56" max="56" width="3.81640625" style="10" customWidth="1"/>
    <col min="57" max="57" width="16.81640625" style="322" customWidth="1"/>
    <col min="58" max="58" width="16.81640625" style="156" customWidth="1"/>
    <col min="59" max="59" width="3.81640625" style="10" customWidth="1"/>
    <col min="60" max="60" width="16.81640625" style="322" customWidth="1"/>
    <col min="61" max="61" width="16.81640625" style="156" customWidth="1"/>
    <col min="62" max="62" width="3.81640625" style="10" customWidth="1"/>
    <col min="63" max="63" width="16.81640625" style="322" customWidth="1"/>
    <col min="64" max="64" width="16.81640625" style="156" customWidth="1"/>
    <col min="65" max="65" width="3.81640625" style="10" customWidth="1"/>
    <col min="66" max="66" width="16.81640625" style="322" customWidth="1"/>
    <col min="67" max="67" width="16.81640625" style="156" customWidth="1"/>
    <col min="68" max="68" width="3.81640625" style="10" customWidth="1"/>
    <col min="69" max="69" width="16.81640625" style="322" customWidth="1"/>
    <col min="70" max="70" width="16.81640625" style="156" customWidth="1"/>
    <col min="71" max="71" width="3.81640625" style="10" customWidth="1"/>
    <col min="72" max="72" width="16.81640625" style="322" customWidth="1"/>
    <col min="73" max="73" width="16.81640625" style="156" customWidth="1"/>
    <col min="74" max="74" width="3.81640625" style="10" customWidth="1"/>
    <col min="75" max="75" width="16.81640625" style="322" customWidth="1"/>
    <col min="76" max="76" width="16.81640625" style="156" customWidth="1"/>
    <col min="77" max="77" width="3.81640625" style="10" customWidth="1"/>
    <col min="78" max="78" width="16.81640625" style="322" customWidth="1"/>
    <col min="79" max="79" width="16.81640625" style="156" customWidth="1"/>
    <col min="80" max="80" width="3.81640625" style="10" customWidth="1"/>
    <col min="81" max="81" width="16.81640625" style="322" customWidth="1"/>
    <col min="82" max="82" width="16.81640625" style="156" customWidth="1"/>
    <col min="83" max="83" width="3.81640625" style="10" customWidth="1"/>
    <col min="84" max="84" width="16.81640625" style="322" customWidth="1"/>
    <col min="85" max="85" width="16.81640625" style="156" customWidth="1"/>
    <col min="86" max="86" width="3.81640625" style="10" customWidth="1"/>
    <col min="87" max="87" width="16.81640625" style="322" customWidth="1"/>
    <col min="88" max="88" width="16.81640625" style="156" customWidth="1"/>
    <col min="89" max="89" width="3.81640625" style="10" customWidth="1"/>
    <col min="90" max="90" width="16.81640625" style="322" customWidth="1"/>
    <col min="91" max="91" width="16.81640625" style="156" customWidth="1"/>
    <col min="92" max="92" width="6.1796875" style="156" customWidth="1"/>
    <col min="93" max="93" width="16.81640625" style="322" customWidth="1"/>
    <col min="94" max="94" width="16.81640625" style="156" customWidth="1"/>
    <col min="95" max="95" width="6.1796875" style="156" customWidth="1"/>
    <col min="96" max="96" width="16.81640625" style="322" customWidth="1"/>
    <col min="97" max="97" width="16.81640625" style="156" customWidth="1"/>
    <col min="98" max="98" width="6.1796875" style="156" customWidth="1"/>
    <col min="99" max="99" width="16.81640625" style="322" customWidth="1"/>
    <col min="100" max="100" width="16.81640625" style="156" customWidth="1"/>
    <col min="101" max="101" width="6.1796875" style="156" customWidth="1"/>
    <col min="102" max="102" width="16.81640625" style="322" customWidth="1"/>
    <col min="103" max="103" width="16.81640625" style="156" customWidth="1"/>
    <col min="104" max="104" width="6.1796875" style="156" customWidth="1"/>
    <col min="105" max="105" width="16.81640625" style="322" customWidth="1"/>
    <col min="106" max="106" width="16.81640625" style="156" customWidth="1"/>
    <col min="107" max="107" width="6.1796875" style="156" customWidth="1"/>
    <col min="108" max="108" width="16.81640625" style="322" customWidth="1"/>
    <col min="109" max="109" width="16.81640625" style="156" customWidth="1"/>
    <col min="110" max="110" width="6.1796875" style="156" customWidth="1"/>
    <col min="111" max="111" width="16.81640625" style="322" customWidth="1"/>
    <col min="112" max="112" width="16.81640625" style="156" customWidth="1"/>
    <col min="113" max="113" width="6.1796875" style="156" customWidth="1"/>
    <col min="114" max="114" width="16.81640625" style="322" customWidth="1"/>
    <col min="115" max="115" width="16.81640625" style="156" customWidth="1"/>
    <col min="116" max="116" width="6.1796875" style="156" customWidth="1"/>
    <col min="117" max="117" width="16.81640625" style="322" customWidth="1"/>
    <col min="118" max="118" width="16.81640625" style="156" customWidth="1"/>
    <col min="119" max="119" width="6.1796875" style="156" customWidth="1"/>
    <col min="120" max="120" width="16.81640625" style="322" customWidth="1"/>
    <col min="121" max="121" width="16.81640625" style="156" customWidth="1"/>
    <col min="122" max="122" width="6.1796875" style="156" customWidth="1"/>
    <col min="123" max="123" width="16.81640625" style="322" customWidth="1"/>
    <col min="124" max="124" width="16.81640625" style="156" customWidth="1"/>
    <col min="125" max="125" width="6.1796875" style="156" customWidth="1"/>
    <col min="126" max="126" width="16.81640625" style="322" customWidth="1"/>
    <col min="127" max="127" width="16.81640625" style="156" customWidth="1"/>
    <col min="128" max="128" width="6.1796875" style="156" customWidth="1"/>
    <col min="129" max="129" width="16.81640625" style="322" customWidth="1"/>
    <col min="130" max="130" width="16.81640625" style="156" customWidth="1"/>
    <col min="131" max="131" width="6.1796875" style="156" customWidth="1"/>
    <col min="132" max="132" width="16.81640625" style="322" customWidth="1"/>
    <col min="133" max="133" width="16.81640625" style="156" customWidth="1"/>
    <col min="134" max="134" width="6.1796875" style="156" customWidth="1"/>
    <col min="135" max="135" width="16.81640625" style="322" customWidth="1"/>
    <col min="136" max="136" width="16.81640625" style="156" customWidth="1"/>
    <col min="137" max="137" width="3.81640625" style="10" customWidth="1"/>
    <col min="138" max="138" width="16.81640625" style="322" customWidth="1"/>
    <col min="139" max="139" width="16.81640625" style="156" customWidth="1"/>
    <col min="140" max="140" width="3.81640625" style="10" customWidth="1"/>
    <col min="141" max="141" width="16.81640625" style="322" customWidth="1"/>
    <col min="142" max="142" width="16.81640625" style="156" customWidth="1"/>
    <col min="143" max="143" width="3.81640625" style="10" customWidth="1"/>
    <col min="144" max="144" width="16.81640625" style="322" customWidth="1"/>
    <col min="145" max="145" width="16.81640625" style="156" customWidth="1"/>
    <col min="146" max="147" width="3.81640625" style="10" customWidth="1"/>
    <col min="148" max="148" width="16.81640625" style="322" customWidth="1"/>
    <col min="149" max="149" width="16.81640625" style="156" customWidth="1"/>
    <col min="150" max="150" width="3.81640625" style="10" customWidth="1"/>
    <col min="151" max="151" width="16.81640625" style="322" customWidth="1"/>
    <col min="152" max="152" width="16.81640625" style="156" customWidth="1"/>
    <col min="153" max="153" width="3.81640625" style="10" customWidth="1"/>
    <col min="154" max="154" width="16.81640625" style="322" customWidth="1"/>
    <col min="155" max="155" width="16.81640625" style="156" customWidth="1"/>
    <col min="156" max="156" width="6.1796875" style="156" customWidth="1"/>
    <col min="157" max="157" width="16.81640625" style="366" customWidth="1"/>
    <col min="158" max="158" width="16.81640625" style="337" customWidth="1"/>
    <col min="159" max="159" width="3.54296875" style="337" customWidth="1"/>
    <col min="160" max="160" width="16.81640625" style="366" customWidth="1"/>
    <col min="161" max="161" width="16.81640625" style="337" customWidth="1"/>
    <col min="162" max="162" width="7.54296875" style="337" customWidth="1"/>
    <col min="163" max="163" width="16.81640625" style="366" customWidth="1"/>
    <col min="164" max="164" width="16.81640625" style="337" customWidth="1"/>
    <col min="165" max="165" width="3.54296875" style="337" customWidth="1"/>
    <col min="166" max="166" width="16.81640625" style="366" customWidth="1"/>
    <col min="167" max="167" width="16.81640625" style="337" customWidth="1"/>
    <col min="168" max="168" width="7.54296875" style="337" customWidth="1"/>
    <col min="169" max="169" width="16.81640625" style="171" customWidth="1"/>
    <col min="170" max="170" width="16.81640625" style="156" customWidth="1"/>
    <col min="171" max="171" width="3.81640625" style="156" customWidth="1"/>
    <col min="172" max="172" width="16.81640625" style="171" customWidth="1"/>
    <col min="173" max="173" width="16.81640625" style="156" customWidth="1"/>
    <col min="174" max="174" width="7.54296875" style="156" customWidth="1"/>
    <col min="175" max="175" width="16.81640625" style="171" customWidth="1"/>
    <col min="176" max="176" width="16.81640625" style="156" customWidth="1"/>
    <col min="177" max="177" width="6.1796875" style="156" customWidth="1"/>
    <col min="178" max="178" width="16.81640625" style="69" customWidth="1"/>
    <col min="179" max="179" width="16.81640625" style="10" customWidth="1"/>
    <col min="180" max="180" width="4" style="10" customWidth="1"/>
    <col min="181" max="181" width="16.81640625" style="69" customWidth="1"/>
    <col min="182" max="182" width="16.81640625" style="10" customWidth="1"/>
    <col min="183" max="183" width="3" style="10" customWidth="1"/>
    <col min="184" max="184" width="16" style="69" customWidth="1"/>
    <col min="185" max="185" width="16" style="10" customWidth="1"/>
    <col min="186" max="186" width="3.81640625" style="10" customWidth="1"/>
    <col min="187" max="187" width="14.81640625" style="69" customWidth="1"/>
    <col min="188" max="188" width="14.81640625" style="10" customWidth="1"/>
    <col min="189" max="189" width="3.81640625" style="10" customWidth="1"/>
    <col min="190" max="190" width="16.54296875" style="69" customWidth="1"/>
    <col min="191" max="191" width="16.54296875" style="10" customWidth="1"/>
    <col min="192" max="192" width="4" style="10" customWidth="1"/>
    <col min="193" max="193" width="14.81640625" style="69" customWidth="1"/>
    <col min="194" max="194" width="14.81640625" style="10" customWidth="1"/>
    <col min="195" max="195" width="4.1796875" style="10" customWidth="1"/>
    <col min="196" max="196" width="14.81640625" style="69" customWidth="1"/>
    <col min="197" max="197" width="14.81640625" style="10" customWidth="1"/>
    <col min="198" max="198" width="3.81640625" style="10" customWidth="1"/>
    <col min="199" max="199" width="15" style="69" customWidth="1"/>
    <col min="200" max="200" width="15" style="10" customWidth="1"/>
    <col min="201" max="201" width="3.1796875" style="10" customWidth="1"/>
    <col min="202" max="203" width="14.81640625" style="10" customWidth="1"/>
    <col min="204" max="204" width="4.81640625" style="10" customWidth="1"/>
    <col min="205" max="205" width="16.1796875" style="69" customWidth="1"/>
    <col min="206" max="206" width="16.1796875" style="10" customWidth="1"/>
    <col min="207" max="207" width="3.81640625" style="10" customWidth="1"/>
    <col min="208" max="209" width="15" style="10" customWidth="1"/>
    <col min="210" max="210" width="5.81640625" style="10" customWidth="1"/>
    <col min="211" max="211" width="14" style="69" customWidth="1"/>
    <col min="212" max="212" width="14" style="10" customWidth="1"/>
    <col min="213" max="213" width="3.81640625" style="10" customWidth="1"/>
    <col min="214" max="215" width="15" style="10" customWidth="1"/>
    <col min="216" max="216" width="5.81640625" style="10" customWidth="1"/>
    <col min="217" max="217" width="14.81640625" style="69" customWidth="1"/>
    <col min="218" max="218" width="14.81640625" style="10" customWidth="1"/>
    <col min="219" max="219" width="3.81640625" style="10" customWidth="1"/>
    <col min="220" max="221" width="11.1796875" style="10" customWidth="1"/>
    <col min="222" max="222" width="3.81640625" style="10" customWidth="1"/>
    <col min="223" max="223" width="14.1796875" style="10" customWidth="1"/>
    <col min="224" max="224" width="15.453125" style="10" customWidth="1"/>
    <col min="225" max="225" width="3.81640625" style="10" customWidth="1"/>
    <col min="226" max="227" width="18.1796875" style="10" customWidth="1"/>
    <col min="228" max="228" width="3.81640625" style="10" customWidth="1"/>
    <col min="229" max="230" width="16" style="10" customWidth="1"/>
    <col min="231" max="231" width="3.81640625" style="10" customWidth="1"/>
    <col min="232" max="233" width="16.81640625" style="10" customWidth="1"/>
    <col min="234" max="234" width="3.81640625" style="10" customWidth="1"/>
    <col min="235" max="236" width="16.453125" style="10" customWidth="1"/>
    <col min="237" max="237" width="3.81640625" style="10" customWidth="1"/>
    <col min="238" max="239" width="16.1796875" style="10" customWidth="1"/>
    <col min="240" max="240" width="3.81640625" style="10" customWidth="1"/>
    <col min="241" max="241" width="31.81640625" style="10" customWidth="1"/>
    <col min="242" max="243" width="13" style="10" customWidth="1"/>
    <col min="244" max="244" width="3.81640625" style="10" customWidth="1"/>
    <col min="245" max="246" width="12.453125" style="10" customWidth="1"/>
    <col min="247" max="247" width="3.81640625" style="10" customWidth="1"/>
    <col min="248" max="249" width="12.81640625" style="10" customWidth="1"/>
    <col min="250" max="250" width="3.81640625" style="10" customWidth="1"/>
    <col min="251" max="252" width="12.1796875" style="10" customWidth="1"/>
    <col min="253" max="16384" width="9.1796875" style="10"/>
  </cols>
  <sheetData>
    <row r="1" spans="1:334" ht="20">
      <c r="A1" s="1" t="s">
        <v>200</v>
      </c>
      <c r="B1" s="57"/>
      <c r="C1" s="774"/>
      <c r="D1" s="775"/>
      <c r="E1" s="755"/>
      <c r="F1" s="774"/>
      <c r="G1" s="775"/>
      <c r="H1" s="755"/>
      <c r="I1" s="704"/>
      <c r="J1" s="704"/>
      <c r="K1" s="704"/>
      <c r="L1" s="704"/>
      <c r="M1" s="704"/>
      <c r="N1" s="704"/>
      <c r="O1" s="704"/>
      <c r="P1" s="704"/>
      <c r="Q1" s="57"/>
      <c r="R1" s="57"/>
      <c r="S1" s="57"/>
      <c r="T1" s="57"/>
      <c r="U1" s="57"/>
      <c r="V1" s="57"/>
      <c r="W1" s="57"/>
      <c r="X1" s="643"/>
      <c r="Y1" s="644"/>
      <c r="Z1" s="645"/>
      <c r="AA1" s="643"/>
      <c r="AB1" s="644"/>
      <c r="AC1" s="645"/>
      <c r="AD1" s="643"/>
      <c r="AE1" s="644"/>
      <c r="AF1" s="645"/>
      <c r="AG1" s="643"/>
      <c r="AH1" s="644"/>
      <c r="AI1" s="645"/>
      <c r="AJ1" s="643"/>
      <c r="AK1" s="644"/>
      <c r="AL1" s="645"/>
      <c r="AM1" s="643"/>
      <c r="AN1" s="644"/>
      <c r="AO1" s="645"/>
      <c r="AP1" s="643"/>
      <c r="AQ1" s="644"/>
      <c r="AR1" s="57"/>
      <c r="AS1" s="643"/>
      <c r="AT1" s="644"/>
      <c r="AU1" s="645"/>
      <c r="AV1" s="643"/>
      <c r="AW1" s="644"/>
      <c r="AX1" s="645"/>
      <c r="AY1" s="643"/>
      <c r="AZ1" s="644"/>
      <c r="BA1" s="645"/>
      <c r="BB1" s="643"/>
      <c r="BC1" s="644"/>
      <c r="BD1" s="645"/>
      <c r="BE1" s="643"/>
      <c r="BF1" s="644"/>
      <c r="BG1" s="645"/>
      <c r="BH1" s="606"/>
      <c r="BI1" s="607"/>
      <c r="BJ1" s="599"/>
      <c r="BK1" s="606"/>
      <c r="BL1" s="607"/>
      <c r="BM1" s="599"/>
      <c r="BN1" s="606"/>
      <c r="BO1" s="607"/>
      <c r="BP1" s="599"/>
      <c r="BQ1" s="606"/>
      <c r="BR1" s="607"/>
      <c r="BS1" s="599"/>
      <c r="BT1" s="606"/>
      <c r="BU1" s="607"/>
      <c r="BV1" s="599"/>
      <c r="BW1" s="606"/>
      <c r="BX1" s="607"/>
      <c r="BY1" s="599"/>
      <c r="BZ1" s="367"/>
      <c r="CA1" s="154"/>
      <c r="CB1" s="57"/>
      <c r="CC1" s="367"/>
      <c r="CD1" s="154"/>
      <c r="CE1" s="57"/>
      <c r="CF1" s="367"/>
      <c r="CG1" s="154"/>
      <c r="CH1" s="57"/>
      <c r="CI1" s="367"/>
      <c r="CJ1" s="154"/>
      <c r="CK1" s="57"/>
      <c r="CL1" s="367"/>
      <c r="CM1" s="154"/>
      <c r="CN1" s="152"/>
      <c r="CO1" s="367"/>
      <c r="CP1" s="154"/>
      <c r="CQ1" s="152"/>
      <c r="CR1" s="367"/>
      <c r="CS1" s="154"/>
      <c r="CT1" s="152"/>
      <c r="CU1" s="367"/>
      <c r="CV1" s="154"/>
      <c r="CW1" s="152"/>
      <c r="CX1" s="367"/>
      <c r="CY1" s="154"/>
      <c r="CZ1" s="152"/>
      <c r="DA1" s="367"/>
      <c r="DB1" s="154"/>
      <c r="DC1" s="152"/>
      <c r="DD1" s="367"/>
      <c r="DE1" s="154"/>
      <c r="DF1" s="152"/>
      <c r="DG1" s="367"/>
      <c r="DH1" s="154"/>
      <c r="DI1" s="152"/>
      <c r="DJ1" s="367"/>
      <c r="DK1" s="154"/>
      <c r="DL1" s="152"/>
      <c r="DM1" s="367"/>
      <c r="DN1" s="154"/>
      <c r="DO1" s="152"/>
      <c r="DP1" s="367"/>
      <c r="DQ1" s="154"/>
      <c r="DR1" s="152"/>
      <c r="DS1" s="367"/>
      <c r="DT1" s="154"/>
      <c r="DU1" s="152"/>
      <c r="DV1" s="367"/>
      <c r="DW1" s="154"/>
      <c r="DX1" s="152"/>
      <c r="DY1" s="367"/>
      <c r="DZ1" s="154"/>
      <c r="EA1" s="152"/>
      <c r="EB1" s="367"/>
      <c r="EC1" s="154"/>
      <c r="ED1" s="152"/>
      <c r="EE1" s="367"/>
      <c r="EF1" s="154"/>
      <c r="EG1" s="57"/>
      <c r="EH1" s="367"/>
      <c r="EI1" s="154"/>
      <c r="EJ1" s="57"/>
      <c r="EK1" s="367"/>
      <c r="EL1" s="154"/>
      <c r="EM1" s="57"/>
      <c r="EN1" s="367"/>
      <c r="EO1" s="154"/>
      <c r="EP1" s="57"/>
      <c r="EQ1" s="57"/>
      <c r="ER1" s="367"/>
      <c r="ES1" s="154"/>
      <c r="ET1" s="57"/>
      <c r="EU1" s="367"/>
      <c r="EV1" s="154"/>
      <c r="EW1" s="57"/>
      <c r="EX1" s="367"/>
      <c r="EY1" s="154"/>
      <c r="EZ1" s="152"/>
      <c r="FA1" s="358"/>
      <c r="FB1" s="359"/>
      <c r="FC1" s="336"/>
      <c r="FD1" s="358"/>
      <c r="FE1" s="359"/>
      <c r="FF1" s="336"/>
      <c r="FG1" s="358"/>
      <c r="FH1" s="359"/>
      <c r="FI1" s="336"/>
      <c r="FJ1" s="358"/>
      <c r="FK1" s="359"/>
      <c r="FL1" s="336"/>
      <c r="FM1" s="320"/>
      <c r="FN1" s="154"/>
      <c r="FO1" s="152"/>
      <c r="FP1" s="320"/>
      <c r="FQ1" s="154"/>
      <c r="FR1" s="152"/>
      <c r="FS1" s="320"/>
      <c r="FT1" s="154"/>
      <c r="FU1" s="152"/>
      <c r="FV1" s="68"/>
      <c r="FW1" s="2"/>
      <c r="FX1" s="57"/>
      <c r="FY1" s="68"/>
      <c r="FZ1" s="2"/>
      <c r="GA1" s="57"/>
      <c r="GB1" s="68"/>
      <c r="GC1" s="2"/>
      <c r="GD1" s="57"/>
      <c r="GE1" s="68"/>
      <c r="GF1" s="2"/>
      <c r="GG1" s="57"/>
      <c r="GH1" s="68"/>
      <c r="GI1" s="2"/>
      <c r="GJ1" s="57"/>
      <c r="GK1" s="68"/>
      <c r="GL1" s="2"/>
      <c r="GM1" s="57"/>
      <c r="GN1" s="68"/>
      <c r="GO1" s="2"/>
      <c r="GP1" s="57"/>
      <c r="GQ1" s="68"/>
      <c r="GR1" s="2"/>
      <c r="GS1" s="57"/>
      <c r="GT1" s="2"/>
      <c r="GU1" s="2"/>
      <c r="GV1" s="57"/>
      <c r="GW1" s="68"/>
      <c r="GX1" s="2"/>
      <c r="GY1" s="57"/>
      <c r="GZ1" s="2"/>
      <c r="HA1" s="2"/>
      <c r="HB1" s="57"/>
      <c r="HC1" s="68"/>
      <c r="HD1" s="2"/>
      <c r="HE1" s="57"/>
      <c r="HF1" s="2"/>
      <c r="HG1" s="2"/>
      <c r="HH1" s="57"/>
      <c r="HI1" s="68"/>
      <c r="HJ1" s="2"/>
      <c r="HK1" s="57"/>
      <c r="HL1" s="2"/>
      <c r="HM1" s="2"/>
      <c r="HN1" s="57"/>
      <c r="HO1" s="2"/>
      <c r="HP1" s="2"/>
      <c r="HQ1" s="57"/>
      <c r="HR1" s="2"/>
      <c r="HS1" s="2"/>
      <c r="HT1" s="5"/>
      <c r="HU1" s="2"/>
      <c r="HV1" s="2"/>
      <c r="HW1" s="5"/>
      <c r="HX1" s="2"/>
      <c r="HY1" s="2"/>
      <c r="HZ1" s="5"/>
      <c r="IA1" s="2"/>
      <c r="IB1" s="2"/>
      <c r="IC1" s="5"/>
      <c r="ID1" s="2"/>
      <c r="IE1" s="2"/>
      <c r="IF1" s="5"/>
      <c r="IG1" s="1" t="s">
        <v>26</v>
      </c>
      <c r="IH1" s="2"/>
      <c r="II1" s="2"/>
      <c r="IJ1" s="5"/>
      <c r="IK1" s="3"/>
      <c r="IL1" s="3"/>
      <c r="IM1" s="5"/>
      <c r="IN1" s="5"/>
      <c r="IO1" s="5"/>
      <c r="IP1" s="5"/>
      <c r="IQ1" s="5"/>
      <c r="IR1" s="5"/>
    </row>
    <row r="2" spans="1:334" ht="20">
      <c r="A2" s="57"/>
      <c r="B2" s="5"/>
      <c r="C2" s="822"/>
      <c r="D2" s="822"/>
      <c r="E2" s="5"/>
      <c r="F2" s="822"/>
      <c r="G2" s="822"/>
      <c r="H2" s="5"/>
      <c r="I2" s="815"/>
      <c r="J2" s="815"/>
      <c r="K2" s="5"/>
      <c r="L2" s="815"/>
      <c r="M2" s="815"/>
      <c r="N2" s="5"/>
      <c r="O2" s="815"/>
      <c r="P2" s="815"/>
      <c r="Q2" s="5"/>
      <c r="R2" s="816"/>
      <c r="S2" s="816"/>
      <c r="T2" s="5"/>
      <c r="U2" s="816"/>
      <c r="V2" s="816"/>
      <c r="W2" s="5"/>
      <c r="X2" s="817"/>
      <c r="Y2" s="817"/>
      <c r="Z2" s="5"/>
      <c r="AA2" s="817"/>
      <c r="AB2" s="817"/>
      <c r="AC2" s="5"/>
      <c r="AD2" s="818" t="s">
        <v>913</v>
      </c>
      <c r="AE2" s="817"/>
      <c r="AF2" s="5"/>
      <c r="AG2" s="818" t="s">
        <v>913</v>
      </c>
      <c r="AH2" s="817"/>
      <c r="AI2" s="5"/>
      <c r="AJ2" s="818" t="s">
        <v>913</v>
      </c>
      <c r="AK2" s="817"/>
      <c r="AL2" s="5"/>
      <c r="AM2" s="817"/>
      <c r="AN2" s="817"/>
      <c r="AO2" s="5"/>
      <c r="AP2" s="817"/>
      <c r="AQ2" s="817"/>
      <c r="AR2" s="5"/>
      <c r="AS2" s="817"/>
      <c r="AT2" s="817"/>
      <c r="AU2" s="5"/>
      <c r="AV2" s="817"/>
      <c r="AW2" s="817"/>
      <c r="AX2" s="5"/>
      <c r="AY2" s="817"/>
      <c r="AZ2" s="817"/>
      <c r="BA2" s="5"/>
      <c r="BB2" s="817"/>
      <c r="BC2" s="817"/>
      <c r="BD2" s="5"/>
      <c r="BE2" s="817"/>
      <c r="BF2" s="817"/>
      <c r="BG2" s="5"/>
      <c r="BH2" s="819"/>
      <c r="BI2" s="819"/>
      <c r="BJ2" s="5"/>
      <c r="BK2" s="819"/>
      <c r="BL2" s="819"/>
      <c r="BM2" s="5"/>
      <c r="BN2" s="819"/>
      <c r="BO2" s="819"/>
      <c r="BP2" s="5"/>
      <c r="BQ2" s="819"/>
      <c r="BR2" s="819"/>
      <c r="BS2" s="5"/>
      <c r="BT2" s="819"/>
      <c r="BU2" s="819"/>
      <c r="BV2" s="5"/>
      <c r="BW2" s="819"/>
      <c r="BX2" s="819"/>
      <c r="BY2" s="5"/>
      <c r="BZ2" s="818"/>
      <c r="CA2" s="818"/>
      <c r="CB2" s="5"/>
      <c r="CC2" s="818"/>
      <c r="CD2" s="818"/>
      <c r="CE2" s="5"/>
      <c r="CF2" s="818"/>
      <c r="CG2" s="818"/>
      <c r="CH2" s="5"/>
      <c r="CI2" s="818"/>
      <c r="CJ2" s="818"/>
      <c r="CK2" s="5"/>
      <c r="CL2" s="818"/>
      <c r="CM2" s="818"/>
      <c r="CN2" s="149"/>
      <c r="CO2" s="818"/>
      <c r="CP2" s="818"/>
      <c r="CQ2" s="149"/>
      <c r="CR2" s="818"/>
      <c r="CS2" s="818"/>
      <c r="CT2" s="149"/>
      <c r="CU2" s="818"/>
      <c r="CV2" s="818"/>
      <c r="CW2" s="149"/>
      <c r="CX2" s="818"/>
      <c r="CY2" s="818"/>
      <c r="CZ2" s="149"/>
      <c r="DA2" s="818"/>
      <c r="DB2" s="818"/>
      <c r="DC2" s="149"/>
      <c r="DD2" s="818"/>
      <c r="DE2" s="818"/>
      <c r="DF2" s="149"/>
      <c r="DG2" s="818"/>
      <c r="DH2" s="818"/>
      <c r="DI2" s="149"/>
      <c r="DJ2" s="818"/>
      <c r="DK2" s="818"/>
      <c r="DL2" s="149"/>
      <c r="DM2" s="818"/>
      <c r="DN2" s="818"/>
      <c r="DO2" s="149"/>
      <c r="DP2" s="818"/>
      <c r="DQ2" s="818"/>
      <c r="DR2" s="149"/>
      <c r="DS2" s="818"/>
      <c r="DT2" s="818"/>
      <c r="DU2" s="149"/>
      <c r="DV2" s="818"/>
      <c r="DW2" s="818"/>
      <c r="DX2" s="149"/>
      <c r="DY2" s="818"/>
      <c r="DZ2" s="818"/>
      <c r="EA2" s="149"/>
      <c r="EB2" s="818"/>
      <c r="EC2" s="818"/>
      <c r="ED2" s="149"/>
      <c r="EE2" s="818"/>
      <c r="EF2" s="818"/>
      <c r="EG2" s="5"/>
      <c r="EH2" s="818"/>
      <c r="EI2" s="818"/>
      <c r="EJ2" s="5"/>
      <c r="EK2" s="818"/>
      <c r="EL2" s="818"/>
      <c r="EM2" s="5"/>
      <c r="EN2" s="818"/>
      <c r="EO2" s="818"/>
      <c r="EP2" s="5"/>
      <c r="EQ2" s="5"/>
      <c r="ER2" s="818"/>
      <c r="ES2" s="818"/>
      <c r="ET2" s="5"/>
      <c r="EU2" s="818"/>
      <c r="EV2" s="818"/>
      <c r="EW2" s="5"/>
      <c r="EX2" s="818"/>
      <c r="EY2" s="818"/>
      <c r="EZ2" s="149"/>
      <c r="FA2" s="820"/>
      <c r="FB2" s="820"/>
      <c r="FC2" s="360"/>
      <c r="FD2" s="820"/>
      <c r="FE2" s="820"/>
      <c r="FF2" s="360"/>
      <c r="FG2" s="820"/>
      <c r="FH2" s="820"/>
      <c r="FI2" s="360"/>
      <c r="FJ2" s="820"/>
      <c r="FK2" s="820"/>
      <c r="FL2" s="360"/>
      <c r="FM2" s="818"/>
      <c r="FN2" s="818"/>
      <c r="FO2" s="149"/>
      <c r="FP2" s="818"/>
      <c r="FQ2" s="818"/>
      <c r="FR2" s="149"/>
      <c r="FS2" s="818"/>
      <c r="FT2" s="818"/>
      <c r="FU2" s="149"/>
      <c r="FV2" s="818"/>
      <c r="FW2" s="818"/>
      <c r="FX2" s="5"/>
      <c r="FY2" s="821"/>
      <c r="FZ2" s="821"/>
      <c r="GA2" s="149"/>
      <c r="GB2" s="818"/>
      <c r="GC2" s="818"/>
      <c r="GD2" s="149"/>
      <c r="GE2" s="821"/>
      <c r="GF2" s="821"/>
      <c r="GG2" s="149"/>
      <c r="GH2" s="818"/>
      <c r="GI2" s="818"/>
      <c r="GJ2" s="149"/>
      <c r="GK2" s="821"/>
      <c r="GL2" s="821"/>
      <c r="GM2" s="149"/>
      <c r="GN2" s="821"/>
      <c r="GO2" s="821"/>
      <c r="GP2" s="149"/>
      <c r="GQ2" s="818"/>
      <c r="GR2" s="818"/>
      <c r="GS2" s="149"/>
      <c r="GT2" s="821"/>
      <c r="GU2" s="821"/>
      <c r="GV2" s="149"/>
      <c r="GW2" s="818"/>
      <c r="GX2" s="818"/>
      <c r="GY2" s="149"/>
      <c r="GZ2" s="821"/>
      <c r="HA2" s="821"/>
      <c r="HB2" s="149"/>
      <c r="HC2" s="818"/>
      <c r="HD2" s="818"/>
      <c r="HE2" s="149"/>
      <c r="HF2" s="821"/>
      <c r="HG2" s="821"/>
      <c r="HH2" s="149"/>
      <c r="HI2" s="821"/>
      <c r="HJ2" s="821"/>
      <c r="HK2" s="149"/>
      <c r="HL2" s="818"/>
      <c r="HM2" s="818"/>
      <c r="HN2" s="149"/>
      <c r="HO2" s="821"/>
      <c r="HP2" s="821"/>
      <c r="HQ2" s="152"/>
      <c r="HR2" s="818"/>
      <c r="HS2" s="818"/>
      <c r="HT2" s="149"/>
      <c r="HU2" s="821"/>
      <c r="HV2" s="821"/>
      <c r="HW2" s="149"/>
      <c r="HX2" s="818"/>
      <c r="HY2" s="818"/>
      <c r="HZ2" s="149"/>
      <c r="IA2" s="821"/>
      <c r="IB2" s="821"/>
      <c r="IC2" s="149"/>
      <c r="ID2" s="821"/>
      <c r="IE2" s="821"/>
      <c r="IF2" s="149"/>
      <c r="IG2" s="152"/>
      <c r="IH2" s="153"/>
      <c r="II2" s="153"/>
      <c r="IJ2" s="149"/>
      <c r="IK2" s="154"/>
      <c r="IL2" s="154"/>
      <c r="IM2" s="149"/>
      <c r="IN2" s="155"/>
      <c r="IO2" s="155"/>
      <c r="IP2" s="149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  <c r="JB2" s="156"/>
      <c r="JC2" s="156"/>
      <c r="JD2" s="156"/>
      <c r="JE2" s="156"/>
      <c r="JF2" s="156"/>
      <c r="JG2" s="156"/>
      <c r="JH2" s="156"/>
      <c r="JI2" s="156"/>
      <c r="JJ2" s="156"/>
      <c r="JK2" s="156"/>
      <c r="JL2" s="156"/>
      <c r="JM2" s="156"/>
      <c r="JN2" s="156"/>
      <c r="JO2" s="156"/>
      <c r="JP2" s="156"/>
      <c r="JQ2" s="156"/>
      <c r="JR2" s="156"/>
      <c r="JS2" s="156"/>
      <c r="JT2" s="156"/>
      <c r="JU2" s="156"/>
      <c r="JV2" s="156"/>
      <c r="JW2" s="156"/>
      <c r="JX2" s="156"/>
      <c r="JY2" s="156"/>
      <c r="JZ2" s="156"/>
      <c r="KA2" s="156"/>
      <c r="KB2" s="156"/>
      <c r="KC2" s="156"/>
      <c r="KD2" s="156"/>
      <c r="KE2" s="156"/>
      <c r="KF2" s="156"/>
      <c r="KG2" s="156"/>
      <c r="KH2" s="156"/>
      <c r="KI2" s="156"/>
      <c r="KJ2" s="156"/>
      <c r="KK2" s="156"/>
      <c r="KL2" s="156"/>
      <c r="KM2" s="156"/>
      <c r="KN2" s="156"/>
      <c r="KO2" s="156"/>
      <c r="KP2" s="156"/>
      <c r="KQ2" s="156"/>
      <c r="KR2" s="156"/>
      <c r="KS2" s="156"/>
      <c r="KT2" s="156"/>
      <c r="KU2" s="156"/>
      <c r="KV2" s="156"/>
      <c r="KW2" s="156"/>
      <c r="KX2" s="156"/>
      <c r="KY2" s="156"/>
      <c r="KZ2" s="156"/>
      <c r="LA2" s="156"/>
      <c r="LB2" s="156"/>
      <c r="LC2" s="156"/>
      <c r="LD2" s="156"/>
      <c r="LE2" s="156"/>
      <c r="LF2" s="156"/>
      <c r="LG2" s="156"/>
      <c r="LH2" s="156"/>
      <c r="LI2" s="156"/>
      <c r="LJ2" s="156"/>
      <c r="LK2" s="156"/>
      <c r="LL2" s="156"/>
      <c r="LM2" s="156"/>
      <c r="LN2" s="156"/>
      <c r="LO2" s="156"/>
      <c r="LP2" s="156"/>
      <c r="LQ2" s="156"/>
      <c r="LR2" s="156"/>
      <c r="LS2" s="156"/>
      <c r="LT2" s="156"/>
      <c r="LU2" s="156"/>
      <c r="LV2" s="156"/>
    </row>
    <row r="3" spans="1:334" ht="36" customHeight="1">
      <c r="A3" s="62" t="s">
        <v>370</v>
      </c>
      <c r="B3" s="701"/>
      <c r="C3" s="776" t="s">
        <v>1027</v>
      </c>
      <c r="D3" s="776" t="s">
        <v>924</v>
      </c>
      <c r="E3" s="777"/>
      <c r="F3" s="776" t="s">
        <v>1022</v>
      </c>
      <c r="G3" s="776" t="s">
        <v>899</v>
      </c>
      <c r="H3" s="777"/>
      <c r="I3" s="262" t="s">
        <v>1000</v>
      </c>
      <c r="J3" s="262" t="s">
        <v>900</v>
      </c>
      <c r="K3" s="701"/>
      <c r="L3" s="702" t="s">
        <v>984</v>
      </c>
      <c r="M3" s="702" t="s">
        <v>912</v>
      </c>
      <c r="N3" s="701"/>
      <c r="O3" s="702" t="s">
        <v>897</v>
      </c>
      <c r="P3" s="702" t="s">
        <v>836</v>
      </c>
      <c r="Q3" s="63"/>
      <c r="R3" s="670" t="s">
        <v>937</v>
      </c>
      <c r="S3" s="670" t="s">
        <v>843</v>
      </c>
      <c r="T3" s="63"/>
      <c r="U3" s="670" t="s">
        <v>898</v>
      </c>
      <c r="V3" s="670" t="s">
        <v>835</v>
      </c>
      <c r="W3" s="63"/>
      <c r="X3" s="262" t="s">
        <v>924</v>
      </c>
      <c r="Y3" s="262" t="s">
        <v>833</v>
      </c>
      <c r="Z3" s="609"/>
      <c r="AA3" s="262" t="s">
        <v>899</v>
      </c>
      <c r="AB3" s="262" t="s">
        <v>834</v>
      </c>
      <c r="AC3" s="647"/>
      <c r="AD3" s="262" t="s">
        <v>900</v>
      </c>
      <c r="AE3" s="262" t="s">
        <v>825</v>
      </c>
      <c r="AF3" s="609"/>
      <c r="AG3" s="262" t="s">
        <v>912</v>
      </c>
      <c r="AH3" s="262" t="s">
        <v>811</v>
      </c>
      <c r="AI3" s="609"/>
      <c r="AJ3" s="262" t="s">
        <v>836</v>
      </c>
      <c r="AK3" s="262" t="s">
        <v>774</v>
      </c>
      <c r="AL3" s="609"/>
      <c r="AM3" s="262" t="s">
        <v>843</v>
      </c>
      <c r="AN3" s="608" t="s">
        <v>796</v>
      </c>
      <c r="AO3" s="609"/>
      <c r="AP3" s="262" t="s">
        <v>835</v>
      </c>
      <c r="AQ3" s="608" t="s">
        <v>775</v>
      </c>
      <c r="AR3" s="63"/>
      <c r="AS3" s="262" t="s">
        <v>833</v>
      </c>
      <c r="AT3" s="608" t="s">
        <v>781</v>
      </c>
      <c r="AU3" s="609"/>
      <c r="AV3" s="262" t="s">
        <v>834</v>
      </c>
      <c r="AW3" s="608" t="s">
        <v>776</v>
      </c>
      <c r="AX3" s="647"/>
      <c r="AY3" s="262" t="s">
        <v>825</v>
      </c>
      <c r="AZ3" s="262" t="s">
        <v>773</v>
      </c>
      <c r="BA3" s="647"/>
      <c r="BB3" s="646" t="s">
        <v>811</v>
      </c>
      <c r="BC3" s="646" t="s">
        <v>749</v>
      </c>
      <c r="BD3" s="647"/>
      <c r="BE3" s="646" t="s">
        <v>774</v>
      </c>
      <c r="BF3" s="646" t="s">
        <v>704</v>
      </c>
      <c r="BG3" s="647"/>
      <c r="BH3" s="262" t="s">
        <v>796</v>
      </c>
      <c r="BI3" s="262" t="s">
        <v>720</v>
      </c>
      <c r="BJ3" s="609"/>
      <c r="BK3" s="262" t="s">
        <v>775</v>
      </c>
      <c r="BL3" s="262" t="s">
        <v>703</v>
      </c>
      <c r="BM3" s="609"/>
      <c r="BN3" s="608" t="s">
        <v>781</v>
      </c>
      <c r="BO3" s="608" t="s">
        <v>701</v>
      </c>
      <c r="BP3" s="609"/>
      <c r="BQ3" s="608" t="s">
        <v>776</v>
      </c>
      <c r="BR3" s="608" t="s">
        <v>702</v>
      </c>
      <c r="BS3" s="609"/>
      <c r="BT3" s="608" t="s">
        <v>704</v>
      </c>
      <c r="BU3" s="608" t="s">
        <v>623</v>
      </c>
      <c r="BV3" s="609"/>
      <c r="BW3" s="608" t="s">
        <v>761</v>
      </c>
      <c r="BX3" s="608" t="s">
        <v>762</v>
      </c>
      <c r="BY3" s="610"/>
      <c r="BZ3" s="262" t="s">
        <v>703</v>
      </c>
      <c r="CA3" s="262" t="s">
        <v>624</v>
      </c>
      <c r="CB3" s="157"/>
      <c r="CC3" s="262" t="s">
        <v>720</v>
      </c>
      <c r="CD3" s="262" t="s">
        <v>646</v>
      </c>
      <c r="CE3" s="63"/>
      <c r="CF3" s="262" t="s">
        <v>702</v>
      </c>
      <c r="CG3" s="361" t="s">
        <v>634</v>
      </c>
      <c r="CH3" s="63"/>
      <c r="CI3" s="262" t="s">
        <v>701</v>
      </c>
      <c r="CJ3" s="361" t="s">
        <v>633</v>
      </c>
      <c r="CK3" s="63"/>
      <c r="CL3" s="262" t="s">
        <v>692</v>
      </c>
      <c r="CM3" s="361" t="s">
        <v>622</v>
      </c>
      <c r="CN3" s="157"/>
      <c r="CO3" s="262" t="s">
        <v>623</v>
      </c>
      <c r="CP3" s="361" t="s">
        <v>606</v>
      </c>
      <c r="CQ3" s="157"/>
      <c r="CR3" s="262" t="s">
        <v>660</v>
      </c>
      <c r="CS3" s="361" t="s">
        <v>604</v>
      </c>
      <c r="CT3" s="157"/>
      <c r="CU3" s="262" t="s">
        <v>624</v>
      </c>
      <c r="CV3" s="361" t="s">
        <v>593</v>
      </c>
      <c r="CW3" s="157"/>
      <c r="CX3" s="262" t="s">
        <v>646</v>
      </c>
      <c r="CY3" s="361" t="s">
        <v>592</v>
      </c>
      <c r="CZ3" s="157"/>
      <c r="DA3" s="262" t="s">
        <v>634</v>
      </c>
      <c r="DB3" s="361" t="s">
        <v>634</v>
      </c>
      <c r="DC3" s="157"/>
      <c r="DD3" s="262" t="s">
        <v>633</v>
      </c>
      <c r="DE3" s="361" t="s">
        <v>582</v>
      </c>
      <c r="DF3" s="157"/>
      <c r="DG3" s="262" t="s">
        <v>622</v>
      </c>
      <c r="DH3" s="361" t="s">
        <v>572</v>
      </c>
      <c r="DI3" s="157"/>
      <c r="DJ3" s="262" t="s">
        <v>606</v>
      </c>
      <c r="DK3" s="361" t="s">
        <v>571</v>
      </c>
      <c r="DL3" s="157"/>
      <c r="DM3" s="262" t="s">
        <v>617</v>
      </c>
      <c r="DN3" s="361" t="s">
        <v>618</v>
      </c>
      <c r="DO3" s="157"/>
      <c r="DP3" s="262" t="s">
        <v>593</v>
      </c>
      <c r="DQ3" s="361" t="s">
        <v>557</v>
      </c>
      <c r="DR3" s="157"/>
      <c r="DS3" s="262" t="s">
        <v>592</v>
      </c>
      <c r="DT3" s="361" t="s">
        <v>556</v>
      </c>
      <c r="DU3" s="157"/>
      <c r="DV3" s="262" t="s">
        <v>581</v>
      </c>
      <c r="DW3" s="361" t="s">
        <v>544</v>
      </c>
      <c r="DX3" s="157"/>
      <c r="DY3" s="262" t="s">
        <v>582</v>
      </c>
      <c r="DZ3" s="361" t="s">
        <v>583</v>
      </c>
      <c r="EA3" s="157"/>
      <c r="EB3" s="262" t="s">
        <v>572</v>
      </c>
      <c r="EC3" s="361" t="s">
        <v>531</v>
      </c>
      <c r="ED3" s="157"/>
      <c r="EE3" s="361">
        <v>2019</v>
      </c>
      <c r="EF3" s="361">
        <v>2018</v>
      </c>
      <c r="EG3" s="362"/>
      <c r="EH3" s="361" t="s">
        <v>571</v>
      </c>
      <c r="EI3" s="361" t="s">
        <v>563</v>
      </c>
      <c r="EJ3" s="362"/>
      <c r="EK3" s="361" t="s">
        <v>556</v>
      </c>
      <c r="EL3" s="361" t="s">
        <v>496</v>
      </c>
      <c r="EM3" s="362"/>
      <c r="EN3" s="361" t="s">
        <v>557</v>
      </c>
      <c r="EO3" s="361" t="s">
        <v>497</v>
      </c>
      <c r="EP3" s="362"/>
      <c r="EQ3" s="362"/>
      <c r="ER3" s="361" t="s">
        <v>545</v>
      </c>
      <c r="ES3" s="361" t="s">
        <v>546</v>
      </c>
      <c r="ET3" s="362"/>
      <c r="EU3" s="361" t="s">
        <v>544</v>
      </c>
      <c r="EV3" s="361" t="s">
        <v>435</v>
      </c>
      <c r="EW3" s="362"/>
      <c r="EX3" s="361" t="s">
        <v>531</v>
      </c>
      <c r="EY3" s="361" t="s">
        <v>277</v>
      </c>
      <c r="EZ3" s="362"/>
      <c r="FA3" s="361">
        <v>2018</v>
      </c>
      <c r="FB3" s="361">
        <v>2017</v>
      </c>
      <c r="FC3" s="362"/>
      <c r="FD3" s="361" t="s">
        <v>513</v>
      </c>
      <c r="FE3" s="361" t="s">
        <v>437</v>
      </c>
      <c r="FF3" s="362"/>
      <c r="FG3" s="361" t="s">
        <v>496</v>
      </c>
      <c r="FH3" s="361" t="s">
        <v>325</v>
      </c>
      <c r="FI3" s="362"/>
      <c r="FJ3" s="361" t="s">
        <v>497</v>
      </c>
      <c r="FK3" s="361" t="s">
        <v>281</v>
      </c>
      <c r="FL3" s="362"/>
      <c r="FM3" s="361" t="s">
        <v>434</v>
      </c>
      <c r="FN3" s="361" t="s">
        <v>296</v>
      </c>
      <c r="FO3" s="362"/>
      <c r="FP3" s="361" t="s">
        <v>435</v>
      </c>
      <c r="FQ3" s="361" t="s">
        <v>283</v>
      </c>
      <c r="FR3" s="362"/>
      <c r="FS3" s="361" t="s">
        <v>277</v>
      </c>
      <c r="FT3" s="361" t="s">
        <v>278</v>
      </c>
      <c r="FU3" s="362"/>
      <c r="FV3" s="361">
        <v>2017</v>
      </c>
      <c r="FW3" s="361">
        <v>2016</v>
      </c>
      <c r="FX3" s="362"/>
      <c r="FY3" s="361" t="s">
        <v>279</v>
      </c>
      <c r="FZ3" s="361" t="s">
        <v>280</v>
      </c>
      <c r="GA3" s="362"/>
      <c r="GB3" s="361" t="s">
        <v>325</v>
      </c>
      <c r="GC3" s="361" t="s">
        <v>300</v>
      </c>
      <c r="GD3" s="362"/>
      <c r="GE3" s="361" t="s">
        <v>281</v>
      </c>
      <c r="GF3" s="361" t="s">
        <v>282</v>
      </c>
      <c r="GG3" s="362"/>
      <c r="GH3" s="361" t="s">
        <v>296</v>
      </c>
      <c r="GI3" s="361" t="s">
        <v>297</v>
      </c>
      <c r="GJ3" s="157"/>
      <c r="GK3" s="150" t="s">
        <v>283</v>
      </c>
      <c r="GL3" s="150" t="s">
        <v>284</v>
      </c>
      <c r="GM3" s="157"/>
      <c r="GN3" s="150" t="s">
        <v>278</v>
      </c>
      <c r="GO3" s="150" t="s">
        <v>285</v>
      </c>
      <c r="GP3" s="157"/>
      <c r="GQ3" s="150">
        <v>2016</v>
      </c>
      <c r="GR3" s="150">
        <v>2015</v>
      </c>
      <c r="GS3" s="156"/>
      <c r="GT3" s="150" t="s">
        <v>322</v>
      </c>
      <c r="GU3" s="150" t="s">
        <v>323</v>
      </c>
      <c r="GV3" s="157"/>
      <c r="GW3" s="150" t="s">
        <v>300</v>
      </c>
      <c r="GX3" s="150" t="s">
        <v>301</v>
      </c>
      <c r="GY3" s="156"/>
      <c r="GZ3" s="150" t="s">
        <v>302</v>
      </c>
      <c r="HA3" s="150" t="s">
        <v>495</v>
      </c>
      <c r="HB3" s="157"/>
      <c r="HC3" s="151" t="s">
        <v>304</v>
      </c>
      <c r="HD3" s="150" t="s">
        <v>305</v>
      </c>
      <c r="HE3" s="157"/>
      <c r="HF3" s="151" t="s">
        <v>306</v>
      </c>
      <c r="HG3" s="150" t="s">
        <v>307</v>
      </c>
      <c r="HH3" s="157"/>
      <c r="HI3" s="151" t="s">
        <v>308</v>
      </c>
      <c r="HJ3" s="150" t="s">
        <v>309</v>
      </c>
      <c r="HK3" s="157"/>
      <c r="HL3" s="151">
        <v>2015</v>
      </c>
      <c r="HM3" s="150">
        <v>2014</v>
      </c>
      <c r="HN3" s="157"/>
      <c r="HO3" s="151" t="s">
        <v>299</v>
      </c>
      <c r="HP3" s="150" t="s">
        <v>288</v>
      </c>
      <c r="HQ3" s="157"/>
      <c r="HR3" s="150" t="s">
        <v>301</v>
      </c>
      <c r="HS3" s="150" t="s">
        <v>310</v>
      </c>
      <c r="HT3" s="156"/>
      <c r="HU3" s="150" t="s">
        <v>311</v>
      </c>
      <c r="HV3" s="150" t="s">
        <v>312</v>
      </c>
      <c r="HW3" s="156"/>
      <c r="HX3" s="150" t="s">
        <v>313</v>
      </c>
      <c r="HY3" s="150" t="s">
        <v>286</v>
      </c>
      <c r="HZ3" s="156"/>
      <c r="IA3" s="150" t="s">
        <v>314</v>
      </c>
      <c r="IB3" s="150" t="s">
        <v>292</v>
      </c>
      <c r="IC3" s="156"/>
      <c r="ID3" s="150" t="s">
        <v>315</v>
      </c>
      <c r="IE3" s="150" t="s">
        <v>316</v>
      </c>
      <c r="IF3" s="156"/>
      <c r="IG3" s="158" t="s">
        <v>370</v>
      </c>
      <c r="IH3" s="159">
        <v>2014</v>
      </c>
      <c r="II3" s="159">
        <v>2013</v>
      </c>
      <c r="IJ3" s="156"/>
      <c r="IK3" s="159" t="s">
        <v>310</v>
      </c>
      <c r="IL3" s="159" t="s">
        <v>317</v>
      </c>
      <c r="IM3" s="156"/>
      <c r="IN3" s="159" t="s">
        <v>286</v>
      </c>
      <c r="IO3" s="159" t="s">
        <v>287</v>
      </c>
      <c r="IP3" s="156"/>
      <c r="IQ3" s="159">
        <v>2013</v>
      </c>
      <c r="IR3" s="159">
        <v>2012</v>
      </c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  <c r="JD3" s="156"/>
      <c r="JE3" s="156"/>
      <c r="JF3" s="156"/>
      <c r="JG3" s="156"/>
      <c r="JH3" s="156"/>
      <c r="JI3" s="156"/>
      <c r="JJ3" s="156"/>
      <c r="JK3" s="156"/>
      <c r="JL3" s="156"/>
      <c r="JM3" s="156"/>
      <c r="JN3" s="156"/>
      <c r="JO3" s="156"/>
      <c r="JP3" s="156"/>
      <c r="JQ3" s="156"/>
      <c r="JR3" s="156"/>
      <c r="JS3" s="156"/>
      <c r="JT3" s="156"/>
      <c r="JU3" s="156"/>
      <c r="JV3" s="156"/>
      <c r="JW3" s="156"/>
      <c r="JX3" s="156"/>
      <c r="JY3" s="156"/>
      <c r="JZ3" s="156"/>
      <c r="KA3" s="156"/>
      <c r="KB3" s="156"/>
      <c r="KC3" s="156"/>
      <c r="KD3" s="156"/>
      <c r="KE3" s="156"/>
      <c r="KF3" s="156"/>
      <c r="KG3" s="156"/>
      <c r="KH3" s="156"/>
      <c r="KI3" s="156"/>
      <c r="KJ3" s="156"/>
      <c r="KK3" s="156"/>
      <c r="KL3" s="156"/>
      <c r="KM3" s="156"/>
      <c r="KN3" s="156"/>
      <c r="KO3" s="156"/>
      <c r="KP3" s="156"/>
      <c r="KQ3" s="156"/>
      <c r="KR3" s="156"/>
      <c r="KS3" s="156"/>
      <c r="KT3" s="156"/>
      <c r="KU3" s="156"/>
      <c r="KV3" s="156"/>
      <c r="KW3" s="156"/>
      <c r="KX3" s="156"/>
      <c r="KY3" s="156"/>
      <c r="KZ3" s="156"/>
      <c r="LA3" s="156"/>
      <c r="LB3" s="156"/>
      <c r="LC3" s="156"/>
      <c r="LD3" s="156"/>
      <c r="LE3" s="156"/>
      <c r="LF3" s="156"/>
      <c r="LG3" s="156"/>
      <c r="LH3" s="156"/>
      <c r="LI3" s="156"/>
      <c r="LJ3" s="156"/>
      <c r="LK3" s="156"/>
      <c r="LL3" s="156"/>
      <c r="LM3" s="156"/>
      <c r="LN3" s="156"/>
      <c r="LO3" s="156"/>
      <c r="LP3" s="156"/>
      <c r="LQ3" s="156"/>
      <c r="LR3" s="156"/>
      <c r="LS3" s="156"/>
      <c r="LT3" s="156"/>
      <c r="LU3" s="156"/>
      <c r="LV3" s="156"/>
    </row>
    <row r="4" spans="1:334">
      <c r="A4" s="64" t="s">
        <v>79</v>
      </c>
      <c r="B4" s="65"/>
      <c r="C4" s="778"/>
      <c r="D4" s="779"/>
      <c r="E4" s="780"/>
      <c r="F4" s="778"/>
      <c r="G4" s="779"/>
      <c r="H4" s="780"/>
      <c r="I4" s="705"/>
      <c r="J4" s="706"/>
      <c r="K4" s="707"/>
      <c r="L4" s="705"/>
      <c r="M4" s="706"/>
      <c r="N4" s="707"/>
      <c r="O4" s="705"/>
      <c r="P4" s="706"/>
      <c r="Q4" s="65"/>
      <c r="R4" s="705"/>
      <c r="S4" s="706"/>
      <c r="T4" s="65"/>
      <c r="U4" s="705"/>
      <c r="V4" s="706"/>
      <c r="W4" s="65"/>
      <c r="X4" s="705"/>
      <c r="Y4" s="706"/>
      <c r="Z4" s="650"/>
      <c r="AA4" s="648"/>
      <c r="AB4" s="649"/>
      <c r="AC4" s="650"/>
      <c r="AD4" s="648"/>
      <c r="AE4" s="649"/>
      <c r="AF4" s="650"/>
      <c r="AG4" s="648"/>
      <c r="AH4" s="649"/>
      <c r="AI4" s="650"/>
      <c r="AJ4" s="648"/>
      <c r="AK4" s="649"/>
      <c r="AL4" s="650"/>
      <c r="AM4" s="648"/>
      <c r="AN4" s="649"/>
      <c r="AO4" s="650"/>
      <c r="AP4" s="648"/>
      <c r="AQ4" s="649"/>
      <c r="AR4" s="65"/>
      <c r="AS4" s="648"/>
      <c r="AT4" s="649"/>
      <c r="AU4" s="650"/>
      <c r="AV4" s="648"/>
      <c r="AW4" s="649"/>
      <c r="AX4" s="650"/>
      <c r="AY4" s="648"/>
      <c r="AZ4" s="649"/>
      <c r="BA4" s="650"/>
      <c r="BB4" s="648"/>
      <c r="BC4" s="649"/>
      <c r="BD4" s="650"/>
      <c r="BE4" s="648"/>
      <c r="BF4" s="649"/>
      <c r="BG4" s="650"/>
      <c r="BH4" s="611"/>
      <c r="BI4" s="612"/>
      <c r="BJ4" s="613"/>
      <c r="BK4" s="611"/>
      <c r="BL4" s="612"/>
      <c r="BM4" s="613"/>
      <c r="BN4" s="611"/>
      <c r="BO4" s="612"/>
      <c r="BP4" s="613"/>
      <c r="BQ4" s="611"/>
      <c r="BR4" s="612"/>
      <c r="BS4" s="613"/>
      <c r="BT4" s="611"/>
      <c r="BU4" s="612"/>
      <c r="BV4" s="613"/>
      <c r="BW4" s="611"/>
      <c r="BX4" s="612"/>
      <c r="BY4" s="613"/>
      <c r="BZ4" s="368">
        <v>144000</v>
      </c>
      <c r="CA4" s="142">
        <v>71000</v>
      </c>
      <c r="CB4" s="65"/>
      <c r="CC4" s="368">
        <v>311000</v>
      </c>
      <c r="CD4" s="142">
        <v>193000</v>
      </c>
      <c r="CE4" s="65"/>
      <c r="CF4" s="368">
        <f t="shared" ref="CF4:CG10" si="0">CI4-CL4</f>
        <v>98000</v>
      </c>
      <c r="CG4" s="142">
        <f t="shared" si="0"/>
        <v>55000</v>
      </c>
      <c r="CH4" s="65"/>
      <c r="CI4" s="368">
        <v>167000</v>
      </c>
      <c r="CJ4" s="142">
        <v>122000</v>
      </c>
      <c r="CK4" s="65"/>
      <c r="CL4" s="368">
        <v>69000</v>
      </c>
      <c r="CM4" s="142">
        <v>67000</v>
      </c>
      <c r="CN4" s="162"/>
      <c r="CO4" s="368">
        <f t="shared" ref="CO4:CO10" si="1">CR4-CX4</f>
        <v>83385</v>
      </c>
      <c r="CP4" s="142">
        <f t="shared" ref="CP4:CP10" si="2">CS4-CY4</f>
        <v>118200</v>
      </c>
      <c r="CQ4" s="162"/>
      <c r="CR4" s="368">
        <v>276000</v>
      </c>
      <c r="CS4" s="142">
        <v>345000</v>
      </c>
      <c r="CT4" s="162"/>
      <c r="CU4" s="368">
        <f t="shared" ref="CU4:CV10" si="3">CX4-DD4</f>
        <v>70897</v>
      </c>
      <c r="CV4" s="142">
        <f t="shared" si="3"/>
        <v>108716</v>
      </c>
      <c r="CW4" s="162"/>
      <c r="CX4" s="368">
        <v>192615</v>
      </c>
      <c r="CY4" s="142">
        <v>226800</v>
      </c>
      <c r="CZ4" s="162"/>
      <c r="DA4" s="368">
        <f t="shared" ref="DA4:DB10" si="4">DD4-DG4</f>
        <v>54408</v>
      </c>
      <c r="DB4" s="142">
        <f t="shared" si="4"/>
        <v>62803</v>
      </c>
      <c r="DC4" s="162"/>
      <c r="DD4" s="368">
        <v>121718</v>
      </c>
      <c r="DE4" s="142">
        <v>118084</v>
      </c>
      <c r="DF4" s="162"/>
      <c r="DG4" s="368">
        <v>67310</v>
      </c>
      <c r="DH4" s="142">
        <v>55281</v>
      </c>
      <c r="DI4" s="162"/>
      <c r="DJ4" s="368">
        <f t="shared" ref="DJ4:DJ11" si="5">DM4-DS4</f>
        <v>118257</v>
      </c>
      <c r="DK4" s="142">
        <f t="shared" ref="DK4:DK11" si="6">DN4-DT4</f>
        <v>110457</v>
      </c>
      <c r="DL4" s="162"/>
      <c r="DM4" s="368">
        <v>345057</v>
      </c>
      <c r="DN4" s="368">
        <v>479519</v>
      </c>
      <c r="DO4" s="162"/>
      <c r="DP4" s="368">
        <f t="shared" ref="DP4:DQ11" si="7">DS4-DY4</f>
        <v>108716</v>
      </c>
      <c r="DQ4" s="142">
        <f t="shared" si="7"/>
        <v>132332</v>
      </c>
      <c r="DR4" s="162"/>
      <c r="DS4" s="368">
        <v>226800</v>
      </c>
      <c r="DT4" s="368">
        <v>369062</v>
      </c>
      <c r="DU4" s="162"/>
      <c r="DV4" s="368">
        <f t="shared" ref="DV4:DV11" si="8">DY4-EB4</f>
        <v>62803</v>
      </c>
      <c r="DW4" s="142">
        <f t="shared" ref="DW4:DW11" si="9">DZ4-EC4</f>
        <v>117872</v>
      </c>
      <c r="DX4" s="162"/>
      <c r="DY4" s="368">
        <v>118084</v>
      </c>
      <c r="DZ4" s="142">
        <v>236730</v>
      </c>
      <c r="EA4" s="162"/>
      <c r="EB4" s="368">
        <v>55281</v>
      </c>
      <c r="EC4" s="142">
        <v>118858</v>
      </c>
      <c r="ED4" s="162"/>
      <c r="EE4" s="363">
        <v>479519</v>
      </c>
      <c r="EF4" s="142">
        <v>412028</v>
      </c>
      <c r="EG4" s="364"/>
      <c r="EH4" s="363">
        <v>110457</v>
      </c>
      <c r="EI4" s="142">
        <v>131915</v>
      </c>
      <c r="EJ4" s="364"/>
      <c r="EK4" s="363">
        <v>369062</v>
      </c>
      <c r="EL4" s="142">
        <v>280113</v>
      </c>
      <c r="EM4" s="364"/>
      <c r="EN4" s="363">
        <v>132332</v>
      </c>
      <c r="EO4" s="142">
        <v>109103</v>
      </c>
      <c r="EP4" s="364"/>
      <c r="EQ4" s="364"/>
      <c r="ER4" s="363">
        <v>236730</v>
      </c>
      <c r="ES4" s="142">
        <v>171010</v>
      </c>
      <c r="ET4" s="364"/>
      <c r="EU4" s="363">
        <v>117872</v>
      </c>
      <c r="EV4" s="142">
        <v>93845</v>
      </c>
      <c r="EW4" s="364"/>
      <c r="EX4" s="363">
        <v>118858</v>
      </c>
      <c r="EY4" s="142">
        <v>77165</v>
      </c>
      <c r="EZ4" s="364"/>
      <c r="FA4" s="363">
        <v>247493</v>
      </c>
      <c r="FB4" s="142">
        <v>165978</v>
      </c>
      <c r="FC4" s="364"/>
      <c r="FD4" s="363">
        <f t="shared" ref="FD4:FE10" si="10">FA4-FG4</f>
        <v>86872</v>
      </c>
      <c r="FE4" s="142">
        <f t="shared" si="10"/>
        <v>77191</v>
      </c>
      <c r="FF4" s="364"/>
      <c r="FG4" s="363">
        <v>160621</v>
      </c>
      <c r="FH4" s="142">
        <v>88787</v>
      </c>
      <c r="FI4" s="364"/>
      <c r="FJ4" s="363">
        <v>69780</v>
      </c>
      <c r="FK4" s="142">
        <v>32915</v>
      </c>
      <c r="FL4" s="364"/>
      <c r="FM4" s="363">
        <v>90841</v>
      </c>
      <c r="FN4" s="142">
        <v>55872</v>
      </c>
      <c r="FO4" s="364"/>
      <c r="FP4" s="363">
        <v>51459</v>
      </c>
      <c r="FQ4" s="142">
        <v>26651</v>
      </c>
      <c r="FR4" s="364"/>
      <c r="FS4" s="363">
        <v>39382</v>
      </c>
      <c r="FT4" s="142">
        <v>29221</v>
      </c>
      <c r="FU4" s="364"/>
      <c r="FV4" s="363">
        <v>165978</v>
      </c>
      <c r="FW4" s="142">
        <v>283169</v>
      </c>
      <c r="FX4" s="364"/>
      <c r="FY4" s="363">
        <v>77191</v>
      </c>
      <c r="FZ4" s="142">
        <v>150825</v>
      </c>
      <c r="GA4" s="364"/>
      <c r="GB4" s="363">
        <v>88787</v>
      </c>
      <c r="GC4" s="142">
        <v>132344</v>
      </c>
      <c r="GD4" s="364"/>
      <c r="GE4" s="363">
        <v>32915</v>
      </c>
      <c r="GF4" s="142">
        <v>41690</v>
      </c>
      <c r="GG4" s="364"/>
      <c r="GH4" s="363">
        <v>55872</v>
      </c>
      <c r="GI4" s="142">
        <v>90654</v>
      </c>
      <c r="GJ4" s="162"/>
      <c r="GK4" s="160">
        <v>26651</v>
      </c>
      <c r="GL4" s="161">
        <v>27237</v>
      </c>
      <c r="GM4" s="162"/>
      <c r="GN4" s="160">
        <v>29221</v>
      </c>
      <c r="GO4" s="161">
        <v>63417</v>
      </c>
      <c r="GP4" s="162"/>
      <c r="GQ4" s="160">
        <v>283169</v>
      </c>
      <c r="GR4" s="161">
        <v>211458</v>
      </c>
      <c r="GS4" s="162"/>
      <c r="GT4" s="160">
        <v>150825</v>
      </c>
      <c r="GU4" s="161">
        <v>33912</v>
      </c>
      <c r="GV4" s="162"/>
      <c r="GW4" s="160">
        <v>132344</v>
      </c>
      <c r="GX4" s="161">
        <v>177546</v>
      </c>
      <c r="GY4" s="162"/>
      <c r="GZ4" s="160">
        <v>41690</v>
      </c>
      <c r="HA4" s="161">
        <v>31301</v>
      </c>
      <c r="HB4" s="162"/>
      <c r="HC4" s="160">
        <v>90654</v>
      </c>
      <c r="HD4" s="161">
        <v>146245</v>
      </c>
      <c r="HE4" s="162"/>
      <c r="HF4" s="160">
        <v>27237</v>
      </c>
      <c r="HG4" s="161">
        <v>86032</v>
      </c>
      <c r="HH4" s="162"/>
      <c r="HI4" s="160">
        <v>63417</v>
      </c>
      <c r="HJ4" s="161">
        <v>60213</v>
      </c>
      <c r="HK4" s="162"/>
      <c r="HL4" s="160">
        <v>211458</v>
      </c>
      <c r="HM4" s="161">
        <v>188897</v>
      </c>
      <c r="HN4" s="162"/>
      <c r="HO4" s="160">
        <v>33912</v>
      </c>
      <c r="HP4" s="161">
        <v>63753</v>
      </c>
      <c r="HQ4" s="162"/>
      <c r="HR4" s="161">
        <v>177546</v>
      </c>
      <c r="HS4" s="161">
        <v>125144</v>
      </c>
      <c r="HT4" s="156"/>
      <c r="HU4" s="161">
        <v>31301</v>
      </c>
      <c r="HV4" s="161">
        <v>42876</v>
      </c>
      <c r="HW4" s="156"/>
      <c r="HX4" s="161">
        <v>146245</v>
      </c>
      <c r="HY4" s="161">
        <v>82268</v>
      </c>
      <c r="HZ4" s="156"/>
      <c r="IA4" s="161">
        <v>86032</v>
      </c>
      <c r="IB4" s="161">
        <v>38079</v>
      </c>
      <c r="IC4" s="156"/>
      <c r="ID4" s="161">
        <v>60213</v>
      </c>
      <c r="IE4" s="161">
        <v>44189</v>
      </c>
      <c r="IF4" s="156"/>
      <c r="IG4" s="163" t="s">
        <v>18</v>
      </c>
      <c r="IH4" s="161">
        <v>188897</v>
      </c>
      <c r="II4" s="161">
        <v>256524</v>
      </c>
      <c r="IJ4" s="156"/>
      <c r="IK4" s="161">
        <v>125144</v>
      </c>
      <c r="IL4" s="161">
        <v>173182</v>
      </c>
      <c r="IM4" s="156"/>
      <c r="IN4" s="161">
        <v>82268</v>
      </c>
      <c r="IO4" s="161">
        <v>115854</v>
      </c>
      <c r="IP4" s="156"/>
      <c r="IQ4" s="164">
        <v>256524</v>
      </c>
      <c r="IR4" s="164">
        <v>167268</v>
      </c>
      <c r="IS4" s="156"/>
      <c r="IT4" s="156"/>
      <c r="IU4" s="156"/>
      <c r="IV4" s="156"/>
      <c r="IW4" s="156"/>
      <c r="IX4" s="156"/>
      <c r="IY4" s="156"/>
      <c r="IZ4" s="156"/>
      <c r="JA4" s="156"/>
      <c r="JB4" s="156"/>
      <c r="JC4" s="156"/>
      <c r="JD4" s="156"/>
      <c r="JE4" s="156"/>
      <c r="JF4" s="156"/>
      <c r="JG4" s="156"/>
      <c r="JH4" s="156"/>
      <c r="JI4" s="156"/>
      <c r="JJ4" s="156"/>
      <c r="JK4" s="156"/>
      <c r="JL4" s="156"/>
      <c r="JM4" s="156"/>
      <c r="JN4" s="156"/>
      <c r="JO4" s="156"/>
      <c r="JP4" s="156"/>
      <c r="JQ4" s="156"/>
      <c r="JR4" s="156"/>
      <c r="JS4" s="156"/>
      <c r="JT4" s="156"/>
      <c r="JU4" s="156"/>
      <c r="JV4" s="156"/>
      <c r="JW4" s="156"/>
      <c r="JX4" s="156"/>
      <c r="JY4" s="156"/>
      <c r="JZ4" s="156"/>
      <c r="KA4" s="156"/>
      <c r="KB4" s="156"/>
      <c r="KC4" s="156"/>
      <c r="KD4" s="156"/>
      <c r="KE4" s="156"/>
      <c r="KF4" s="156"/>
      <c r="KG4" s="156"/>
      <c r="KH4" s="156"/>
      <c r="KI4" s="156"/>
      <c r="KJ4" s="156"/>
      <c r="KK4" s="156"/>
      <c r="KL4" s="156"/>
      <c r="KM4" s="156"/>
      <c r="KN4" s="156"/>
      <c r="KO4" s="156"/>
      <c r="KP4" s="156"/>
      <c r="KQ4" s="156"/>
      <c r="KR4" s="156"/>
      <c r="KS4" s="156"/>
      <c r="KT4" s="156"/>
      <c r="KU4" s="156"/>
      <c r="KV4" s="156"/>
      <c r="KW4" s="156"/>
      <c r="KX4" s="156"/>
      <c r="KY4" s="156"/>
      <c r="KZ4" s="156"/>
      <c r="LA4" s="156"/>
      <c r="LB4" s="156"/>
      <c r="LC4" s="156"/>
      <c r="LD4" s="156"/>
      <c r="LE4" s="156"/>
      <c r="LF4" s="156"/>
      <c r="LG4" s="156"/>
      <c r="LH4" s="156"/>
      <c r="LI4" s="156"/>
      <c r="LJ4" s="156"/>
      <c r="LK4" s="156"/>
      <c r="LL4" s="156"/>
      <c r="LM4" s="156"/>
      <c r="LN4" s="156"/>
      <c r="LO4" s="156"/>
      <c r="LP4" s="156"/>
      <c r="LQ4" s="156"/>
      <c r="LR4" s="156"/>
      <c r="LS4" s="156"/>
      <c r="LT4" s="156"/>
      <c r="LU4" s="156"/>
      <c r="LV4" s="156"/>
    </row>
    <row r="5" spans="1:334">
      <c r="A5" s="465" t="s">
        <v>579</v>
      </c>
      <c r="B5" s="465"/>
      <c r="C5" s="757">
        <f>'[3]segmenty prez'!$F$38*1000</f>
        <v>151000</v>
      </c>
      <c r="D5" s="781">
        <f>'[3]segmenty prez'!$F$77*1000</f>
        <v>103000</v>
      </c>
      <c r="E5" s="780"/>
      <c r="F5" s="757">
        <f>'[3]segmenty 3 m-ce PREZ'!$F$28*1000</f>
        <v>86000</v>
      </c>
      <c r="G5" s="757">
        <f>'[3]segmenty 3 m-ce PREZ'!$F$60*1000</f>
        <v>80000</v>
      </c>
      <c r="H5" s="780"/>
      <c r="I5" s="708">
        <f>('[4]segmenty prez'!$F$38)*1000</f>
        <v>65000</v>
      </c>
      <c r="J5" s="708">
        <f>('[4]segmenty prez'!$F$77)*1000</f>
        <v>23000</v>
      </c>
      <c r="K5" s="707"/>
      <c r="L5" s="708">
        <f>[5]segmenty!$B$39*1000</f>
        <v>380000</v>
      </c>
      <c r="M5" s="711">
        <f>[5]segmenty!$B$79*1000</f>
        <v>114000</v>
      </c>
      <c r="N5" s="707"/>
      <c r="O5" s="708">
        <f t="shared" ref="O5:P10" si="11">L5-R5</f>
        <v>102000</v>
      </c>
      <c r="P5" s="711">
        <f t="shared" si="11"/>
        <v>44000</v>
      </c>
      <c r="Q5" s="65"/>
      <c r="R5" s="708">
        <f>'[19]segmenty prez'!$B$35*1000</f>
        <v>278000</v>
      </c>
      <c r="S5" s="711">
        <f>'[19]segmenty prez'!$B$71*1000</f>
        <v>70000</v>
      </c>
      <c r="T5" s="65"/>
      <c r="U5" s="708">
        <f>('[6]segmenty 3 m-ce PREZ'!$B$25)*1000</f>
        <v>175000</v>
      </c>
      <c r="V5" s="711">
        <f>('[6]segmenty 3 m-ce PREZ'!$B$54)*1000</f>
        <v>30000</v>
      </c>
      <c r="W5" s="65"/>
      <c r="X5" s="708">
        <f>'[7]segmenty prez'!$B$35*1000</f>
        <v>103000</v>
      </c>
      <c r="Y5" s="711">
        <f>'[7]segmenty prez'!$B$71*1000</f>
        <v>40000</v>
      </c>
      <c r="Z5" s="650"/>
      <c r="AA5" s="651">
        <f>'[7]segmenty 3 m-ce PREZ'!$B$25*1000</f>
        <v>80000</v>
      </c>
      <c r="AB5" s="651">
        <f>'[7]segmenty 3 m-ce PREZ'!$B$54*1000</f>
        <v>15000</v>
      </c>
      <c r="AC5" s="650"/>
      <c r="AD5" s="651">
        <f>('[8]segmenty prez'!$B$35)*1000</f>
        <v>23000</v>
      </c>
      <c r="AE5" s="651">
        <f>('[8]segmenty prez'!$B$71)*1000</f>
        <v>25000</v>
      </c>
      <c r="AF5" s="650"/>
      <c r="AG5" s="651">
        <f>[9]segmenty!$B$37*1000</f>
        <v>114000</v>
      </c>
      <c r="AH5" s="651">
        <f>[9]segmenty!$B$75*1000</f>
        <v>301000</v>
      </c>
      <c r="AI5" s="650"/>
      <c r="AJ5" s="651">
        <f t="shared" ref="AJ5:AK10" si="12">AG5-AM5</f>
        <v>44000</v>
      </c>
      <c r="AK5" s="651">
        <f t="shared" si="12"/>
        <v>84000</v>
      </c>
      <c r="AL5" s="650"/>
      <c r="AM5" s="651">
        <f>('[10]segmenty prez'!$B$35)*1000</f>
        <v>70000</v>
      </c>
      <c r="AN5" s="651">
        <f>('[10]segmenty prez'!$B$71)*1000</f>
        <v>217000</v>
      </c>
      <c r="AO5" s="650"/>
      <c r="AP5" s="651" t="e">
        <f>(#REF!)*1000</f>
        <v>#REF!</v>
      </c>
      <c r="AQ5" s="651" t="e">
        <f>(#REF!)*1000</f>
        <v>#REF!</v>
      </c>
      <c r="AR5" s="65"/>
      <c r="AS5" s="651">
        <v>40000</v>
      </c>
      <c r="AT5" s="651">
        <v>118000</v>
      </c>
      <c r="AU5" s="650"/>
      <c r="AV5" s="651">
        <v>15000</v>
      </c>
      <c r="AW5" s="651">
        <v>80000</v>
      </c>
      <c r="AX5" s="650"/>
      <c r="AY5" s="651">
        <f>[11]segmenty!$B$37*1000</f>
        <v>46000</v>
      </c>
      <c r="AZ5" s="651">
        <f>[11]segmenty!$B$75*1000</f>
        <v>74000</v>
      </c>
      <c r="BA5" s="650"/>
      <c r="BB5" s="651">
        <f>([12]segmenty!$B$37)*1000</f>
        <v>568000</v>
      </c>
      <c r="BC5" s="651">
        <f>([12]segmenty!$B$76)*1000</f>
        <v>383000</v>
      </c>
      <c r="BD5" s="650"/>
      <c r="BE5" s="651">
        <f t="shared" ref="BE5:BF10" si="13">BB5-BH5</f>
        <v>186000</v>
      </c>
      <c r="BF5" s="651">
        <f t="shared" si="13"/>
        <v>115000</v>
      </c>
      <c r="BG5" s="650"/>
      <c r="BH5" s="601">
        <f>([13]segmenty!$B$37)*1000</f>
        <v>382000</v>
      </c>
      <c r="BI5" s="601">
        <f>([13]segmenty!$B$76)*1000</f>
        <v>268000</v>
      </c>
      <c r="BJ5" s="613"/>
      <c r="BK5" s="601">
        <f>('[13]segmenty 3 m-ce PREZ'!$B$25)*1000</f>
        <v>187000</v>
      </c>
      <c r="BL5" s="601">
        <f>('[13]segmenty 3 m-ce PREZ'!$B$55)*1000</f>
        <v>151000</v>
      </c>
      <c r="BM5" s="613"/>
      <c r="BN5" s="601">
        <f>[14]segmenty!$B$37*1000</f>
        <v>195000</v>
      </c>
      <c r="BO5" s="601">
        <f>[14]segmenty!$B$75*1000</f>
        <v>117000</v>
      </c>
      <c r="BP5" s="613"/>
      <c r="BQ5" s="601">
        <f>('[14]segmenty 3 m-ce PREZ'!$B$25)*1000</f>
        <v>121000</v>
      </c>
      <c r="BR5" s="601">
        <f>('[14]segmenty 3 m-ce PREZ'!$B$54)*1000</f>
        <v>53000</v>
      </c>
      <c r="BS5" s="613"/>
      <c r="BT5" s="601">
        <f t="shared" ref="BT5:BU10" si="14">BW5-CC5</f>
        <v>115000</v>
      </c>
      <c r="BU5" s="614">
        <f t="shared" si="14"/>
        <v>48000</v>
      </c>
      <c r="BV5" s="613"/>
      <c r="BW5" s="601">
        <v>383000</v>
      </c>
      <c r="BX5" s="601">
        <v>240000</v>
      </c>
      <c r="BY5" s="613"/>
      <c r="BZ5" s="461">
        <v>151000</v>
      </c>
      <c r="CA5" s="467">
        <v>78000</v>
      </c>
      <c r="CB5" s="65"/>
      <c r="CC5" s="461">
        <v>268000</v>
      </c>
      <c r="CD5" s="467">
        <v>192000</v>
      </c>
      <c r="CE5" s="65"/>
      <c r="CF5" s="461">
        <f t="shared" si="0"/>
        <v>53000</v>
      </c>
      <c r="CG5" s="467">
        <f t="shared" si="0"/>
        <v>56000</v>
      </c>
      <c r="CH5" s="65"/>
      <c r="CI5" s="461">
        <v>117000</v>
      </c>
      <c r="CJ5" s="467">
        <v>114000</v>
      </c>
      <c r="CK5" s="65"/>
      <c r="CL5" s="461">
        <v>64000</v>
      </c>
      <c r="CM5" s="467">
        <v>58000</v>
      </c>
      <c r="CN5" s="177"/>
      <c r="CO5" s="461">
        <f t="shared" si="1"/>
        <v>48377</v>
      </c>
      <c r="CP5" s="467">
        <f t="shared" si="2"/>
        <v>414806</v>
      </c>
      <c r="CQ5" s="177"/>
      <c r="CR5" s="461">
        <v>240000</v>
      </c>
      <c r="CS5" s="467">
        <v>1437000</v>
      </c>
      <c r="CT5" s="177"/>
      <c r="CU5" s="461">
        <f t="shared" si="3"/>
        <v>77813</v>
      </c>
      <c r="CV5" s="467">
        <f t="shared" si="3"/>
        <v>328982</v>
      </c>
      <c r="CW5" s="177"/>
      <c r="CX5" s="461">
        <v>191623</v>
      </c>
      <c r="CY5" s="467">
        <v>1022194</v>
      </c>
      <c r="CZ5" s="177"/>
      <c r="DA5" s="461">
        <f t="shared" si="4"/>
        <v>55402</v>
      </c>
      <c r="DB5" s="467">
        <f t="shared" si="4"/>
        <v>331787</v>
      </c>
      <c r="DC5" s="177"/>
      <c r="DD5" s="461">
        <v>113810</v>
      </c>
      <c r="DE5" s="467">
        <v>693212</v>
      </c>
      <c r="DF5" s="177"/>
      <c r="DG5" s="461">
        <v>58408</v>
      </c>
      <c r="DH5" s="467">
        <v>361425</v>
      </c>
      <c r="DI5" s="177"/>
      <c r="DJ5" s="461">
        <f t="shared" si="5"/>
        <v>381114</v>
      </c>
      <c r="DK5" s="467">
        <f t="shared" si="6"/>
        <v>672799</v>
      </c>
      <c r="DL5" s="177"/>
      <c r="DM5" s="461">
        <v>1336489</v>
      </c>
      <c r="DN5" s="461">
        <v>1584702</v>
      </c>
      <c r="DO5" s="177"/>
      <c r="DP5" s="461">
        <f t="shared" si="7"/>
        <v>294603</v>
      </c>
      <c r="DQ5" s="467">
        <f t="shared" si="7"/>
        <v>442783</v>
      </c>
      <c r="DR5" s="177"/>
      <c r="DS5" s="461">
        <v>955375</v>
      </c>
      <c r="DT5" s="461">
        <v>911903</v>
      </c>
      <c r="DU5" s="177"/>
      <c r="DV5" s="461">
        <f t="shared" si="8"/>
        <v>313174</v>
      </c>
      <c r="DW5" s="467">
        <f t="shared" si="9"/>
        <v>245925</v>
      </c>
      <c r="DX5" s="177"/>
      <c r="DY5" s="461">
        <v>660772</v>
      </c>
      <c r="DZ5" s="467">
        <v>469120</v>
      </c>
      <c r="EA5" s="177"/>
      <c r="EB5" s="461">
        <v>347598</v>
      </c>
      <c r="EC5" s="467">
        <v>223195</v>
      </c>
      <c r="ED5" s="177"/>
      <c r="EE5" s="339">
        <v>1683070</v>
      </c>
      <c r="EF5" s="143">
        <v>1299817</v>
      </c>
      <c r="EG5" s="364"/>
      <c r="EH5" s="339">
        <v>711141</v>
      </c>
      <c r="EI5" s="143">
        <v>390431</v>
      </c>
      <c r="EJ5" s="364"/>
      <c r="EK5" s="339">
        <v>971929</v>
      </c>
      <c r="EL5" s="143">
        <v>909386</v>
      </c>
      <c r="EM5" s="364"/>
      <c r="EN5" s="339">
        <v>471307</v>
      </c>
      <c r="EO5" s="143">
        <v>339863</v>
      </c>
      <c r="EP5" s="364"/>
      <c r="EQ5" s="364"/>
      <c r="ER5" s="339">
        <v>500622</v>
      </c>
      <c r="ES5" s="143">
        <v>569523</v>
      </c>
      <c r="ET5" s="364"/>
      <c r="EU5" s="339">
        <v>264684</v>
      </c>
      <c r="EV5" s="143">
        <v>326612</v>
      </c>
      <c r="EW5" s="364"/>
      <c r="EX5" s="339">
        <v>235938</v>
      </c>
      <c r="EY5" s="143">
        <v>242911</v>
      </c>
      <c r="EZ5" s="364"/>
      <c r="FA5" s="339">
        <v>1299817</v>
      </c>
      <c r="FB5" s="143">
        <v>1516492</v>
      </c>
      <c r="FC5" s="364"/>
      <c r="FD5" s="339">
        <f t="shared" si="10"/>
        <v>390431</v>
      </c>
      <c r="FE5" s="143">
        <f t="shared" si="10"/>
        <v>393676</v>
      </c>
      <c r="FF5" s="364"/>
      <c r="FG5" s="339">
        <v>909386</v>
      </c>
      <c r="FH5" s="143">
        <v>1122816</v>
      </c>
      <c r="FI5" s="364"/>
      <c r="FJ5" s="339">
        <v>339863</v>
      </c>
      <c r="FK5" s="143">
        <v>308899</v>
      </c>
      <c r="FL5" s="364"/>
      <c r="FM5" s="339">
        <v>569523</v>
      </c>
      <c r="FN5" s="143">
        <v>813917</v>
      </c>
      <c r="FO5" s="364"/>
      <c r="FP5" s="339">
        <v>326612</v>
      </c>
      <c r="FQ5" s="143">
        <v>479224</v>
      </c>
      <c r="FR5" s="364"/>
      <c r="FS5" s="339">
        <v>242911</v>
      </c>
      <c r="FT5" s="143">
        <v>334693</v>
      </c>
      <c r="FU5" s="364"/>
      <c r="FV5" s="339">
        <v>1516492</v>
      </c>
      <c r="FW5" s="143">
        <v>1661215</v>
      </c>
      <c r="FX5" s="364"/>
      <c r="FY5" s="339">
        <v>393676</v>
      </c>
      <c r="FZ5" s="143">
        <v>550921</v>
      </c>
      <c r="GA5" s="364"/>
      <c r="GB5" s="339">
        <v>1122816</v>
      </c>
      <c r="GC5" s="143">
        <v>1110294</v>
      </c>
      <c r="GD5" s="364"/>
      <c r="GE5" s="339">
        <v>308899</v>
      </c>
      <c r="GF5" s="143">
        <v>510474</v>
      </c>
      <c r="GG5" s="364"/>
      <c r="GH5" s="339">
        <v>813917</v>
      </c>
      <c r="GI5" s="143">
        <v>599820</v>
      </c>
      <c r="GJ5" s="162"/>
      <c r="GK5" s="165">
        <v>479224</v>
      </c>
      <c r="GL5" s="155">
        <v>343886</v>
      </c>
      <c r="GM5" s="162"/>
      <c r="GN5" s="165">
        <v>334693</v>
      </c>
      <c r="GO5" s="155">
        <v>255934</v>
      </c>
      <c r="GP5" s="162"/>
      <c r="GQ5" s="165">
        <v>1661215</v>
      </c>
      <c r="GR5" s="155">
        <v>1934229</v>
      </c>
      <c r="GS5" s="162"/>
      <c r="GT5" s="165">
        <v>550921</v>
      </c>
      <c r="GU5" s="155">
        <v>525579</v>
      </c>
      <c r="GV5" s="162"/>
      <c r="GW5" s="165">
        <v>1110294</v>
      </c>
      <c r="GX5" s="155">
        <v>1408650</v>
      </c>
      <c r="GY5" s="162"/>
      <c r="GZ5" s="165">
        <v>510474</v>
      </c>
      <c r="HA5" s="155">
        <v>523081</v>
      </c>
      <c r="HB5" s="162"/>
      <c r="HC5" s="165">
        <v>599820</v>
      </c>
      <c r="HD5" s="155">
        <v>885569</v>
      </c>
      <c r="HE5" s="162"/>
      <c r="HF5" s="165">
        <v>343886</v>
      </c>
      <c r="HG5" s="155">
        <v>462379</v>
      </c>
      <c r="HH5" s="162"/>
      <c r="HI5" s="165">
        <v>255934</v>
      </c>
      <c r="HJ5" s="155">
        <v>423190</v>
      </c>
      <c r="HK5" s="162"/>
      <c r="HL5" s="165">
        <v>1934229</v>
      </c>
      <c r="HM5" s="155">
        <v>855029</v>
      </c>
      <c r="HN5" s="162"/>
      <c r="HO5" s="165">
        <v>525579</v>
      </c>
      <c r="HP5" s="155">
        <v>314945</v>
      </c>
      <c r="HQ5" s="162"/>
      <c r="HR5" s="155">
        <v>1408650</v>
      </c>
      <c r="HS5" s="155">
        <v>540084</v>
      </c>
      <c r="HT5" s="156"/>
      <c r="HU5" s="155">
        <v>523081</v>
      </c>
      <c r="HV5" s="155">
        <v>257781</v>
      </c>
      <c r="HW5" s="156"/>
      <c r="HX5" s="155">
        <v>885569</v>
      </c>
      <c r="HY5" s="155">
        <v>282303</v>
      </c>
      <c r="HZ5" s="156"/>
      <c r="IA5" s="155">
        <v>462379</v>
      </c>
      <c r="IB5" s="155">
        <v>155138</v>
      </c>
      <c r="IC5" s="156"/>
      <c r="ID5" s="155">
        <v>423190</v>
      </c>
      <c r="IE5" s="155">
        <v>127165</v>
      </c>
      <c r="IF5" s="156"/>
      <c r="IG5" s="162" t="s">
        <v>19</v>
      </c>
      <c r="IH5" s="155">
        <v>403503</v>
      </c>
      <c r="II5" s="155">
        <v>520926</v>
      </c>
      <c r="IJ5" s="156"/>
      <c r="IK5" s="155">
        <v>234821</v>
      </c>
      <c r="IL5" s="155">
        <v>402703</v>
      </c>
      <c r="IM5" s="156"/>
      <c r="IN5" s="155">
        <v>126211</v>
      </c>
      <c r="IO5" s="155">
        <v>274748</v>
      </c>
      <c r="IP5" s="156"/>
      <c r="IQ5" s="166">
        <v>520926</v>
      </c>
      <c r="IR5" s="166">
        <v>857153</v>
      </c>
      <c r="IS5" s="156"/>
      <c r="IT5" s="156"/>
      <c r="IU5" s="156"/>
      <c r="IV5" s="156"/>
      <c r="IW5" s="156"/>
      <c r="IX5" s="156"/>
      <c r="IY5" s="156"/>
      <c r="IZ5" s="156"/>
      <c r="JA5" s="156"/>
      <c r="JB5" s="156"/>
      <c r="JC5" s="156"/>
      <c r="JD5" s="156"/>
      <c r="JE5" s="156"/>
      <c r="JF5" s="156"/>
      <c r="JG5" s="156"/>
      <c r="JH5" s="156"/>
      <c r="JI5" s="156"/>
      <c r="JJ5" s="156"/>
      <c r="JK5" s="156"/>
      <c r="JL5" s="156"/>
      <c r="JM5" s="156"/>
      <c r="JN5" s="156"/>
      <c r="JO5" s="156"/>
      <c r="JP5" s="156"/>
      <c r="JQ5" s="156"/>
      <c r="JR5" s="156"/>
      <c r="JS5" s="156"/>
      <c r="JT5" s="156"/>
      <c r="JU5" s="156"/>
      <c r="JV5" s="156"/>
      <c r="JW5" s="156"/>
      <c r="JX5" s="156"/>
      <c r="JY5" s="156"/>
      <c r="JZ5" s="156"/>
      <c r="KA5" s="156"/>
      <c r="KB5" s="156"/>
      <c r="KC5" s="156"/>
      <c r="KD5" s="156"/>
      <c r="KE5" s="156"/>
      <c r="KF5" s="156"/>
      <c r="KG5" s="156"/>
      <c r="KH5" s="156"/>
      <c r="KI5" s="156"/>
      <c r="KJ5" s="156"/>
      <c r="KK5" s="156"/>
      <c r="KL5" s="156"/>
      <c r="KM5" s="156"/>
      <c r="KN5" s="156"/>
      <c r="KO5" s="156"/>
      <c r="KP5" s="156"/>
      <c r="KQ5" s="156"/>
      <c r="KR5" s="156"/>
      <c r="KS5" s="156"/>
      <c r="KT5" s="156"/>
      <c r="KU5" s="156"/>
      <c r="KV5" s="156"/>
      <c r="KW5" s="156"/>
      <c r="KX5" s="156"/>
      <c r="KY5" s="156"/>
      <c r="KZ5" s="156"/>
      <c r="LA5" s="156"/>
      <c r="LB5" s="156"/>
      <c r="LC5" s="156"/>
      <c r="LD5" s="156"/>
      <c r="LE5" s="156"/>
      <c r="LF5" s="156"/>
      <c r="LG5" s="156"/>
      <c r="LH5" s="156"/>
      <c r="LI5" s="156"/>
      <c r="LJ5" s="156"/>
      <c r="LK5" s="156"/>
      <c r="LL5" s="156"/>
      <c r="LM5" s="156"/>
      <c r="LN5" s="156"/>
      <c r="LO5" s="156"/>
      <c r="LP5" s="156"/>
      <c r="LQ5" s="156"/>
      <c r="LR5" s="156"/>
      <c r="LS5" s="156"/>
      <c r="LT5" s="156"/>
      <c r="LU5" s="156"/>
      <c r="LV5" s="156"/>
    </row>
    <row r="6" spans="1:334">
      <c r="A6" s="465" t="s">
        <v>947</v>
      </c>
      <c r="B6" s="465"/>
      <c r="C6" s="757">
        <f>'[3]segmenty prez'!$D$38*1000</f>
        <v>97000</v>
      </c>
      <c r="D6" s="781">
        <f>'[3]segmenty prez'!$D$77*1000</f>
        <v>48000</v>
      </c>
      <c r="E6" s="780"/>
      <c r="F6" s="757">
        <f>'[3]segmenty 3 m-ce PREZ'!$D$28*1000</f>
        <v>73000</v>
      </c>
      <c r="G6" s="757">
        <f>'[3]segmenty 3 m-ce PREZ'!$D$60*1000</f>
        <v>25000</v>
      </c>
      <c r="H6" s="780"/>
      <c r="I6" s="708">
        <f>('[4]segmenty prez'!$D$38)*1000</f>
        <v>24000</v>
      </c>
      <c r="J6" s="708">
        <f>('[4]segmenty prez'!$D$77)*1000</f>
        <v>23000</v>
      </c>
      <c r="K6" s="707"/>
      <c r="L6" s="708">
        <f>[5]segmenty!$C$39*1000</f>
        <v>132000</v>
      </c>
      <c r="M6" s="711">
        <f>[5]segmenty!$C$79*1000</f>
        <v>135000</v>
      </c>
      <c r="N6" s="707"/>
      <c r="O6" s="708">
        <f t="shared" si="11"/>
        <v>52000</v>
      </c>
      <c r="P6" s="711">
        <f t="shared" si="11"/>
        <v>43000</v>
      </c>
      <c r="Q6" s="65"/>
      <c r="R6" s="708">
        <f>'[19]segmenty prez'!$C$35*1000</f>
        <v>80000</v>
      </c>
      <c r="S6" s="711">
        <f>'[19]segmenty prez'!$C$71*1000</f>
        <v>92000</v>
      </c>
      <c r="T6" s="65"/>
      <c r="U6" s="708">
        <f>('[6]segmenty 3 m-ce PREZ'!$C$25)*1000</f>
        <v>32000</v>
      </c>
      <c r="V6" s="711">
        <f>('[6]segmenty 3 m-ce PREZ'!$C$54)*1000</f>
        <v>39000</v>
      </c>
      <c r="W6" s="65"/>
      <c r="X6" s="708">
        <f>'[7]segmenty prez'!$C$35*1000</f>
        <v>48000</v>
      </c>
      <c r="Y6" s="711">
        <f>'[7]segmenty prez'!$C$71*1000</f>
        <v>53000</v>
      </c>
      <c r="Z6" s="650"/>
      <c r="AA6" s="651">
        <f>'[7]segmenty 3 m-ce PREZ'!$C$25*1000</f>
        <v>25000</v>
      </c>
      <c r="AB6" s="651">
        <f>'[7]segmenty 3 m-ce PREZ'!$C$54*1000</f>
        <v>33000</v>
      </c>
      <c r="AC6" s="650"/>
      <c r="AD6" s="651">
        <f>('[8]segmenty prez'!$C$35)*1000</f>
        <v>23000</v>
      </c>
      <c r="AE6" s="651">
        <f>('[8]segmenty prez'!$C$71)*1000</f>
        <v>20000</v>
      </c>
      <c r="AF6" s="650"/>
      <c r="AG6" s="651">
        <f>[9]segmenty!$C$37*1000</f>
        <v>135000</v>
      </c>
      <c r="AH6" s="651">
        <f>[9]segmenty!$C$75*1000</f>
        <v>273000</v>
      </c>
      <c r="AI6" s="650"/>
      <c r="AJ6" s="651">
        <f t="shared" si="12"/>
        <v>43000</v>
      </c>
      <c r="AK6" s="651">
        <f t="shared" si="12"/>
        <v>107000</v>
      </c>
      <c r="AL6" s="650"/>
      <c r="AM6" s="651">
        <f>('[10]segmenty prez'!$C$35)*1000</f>
        <v>92000</v>
      </c>
      <c r="AN6" s="651">
        <f>('[10]segmenty prez'!$C$71)*1000</f>
        <v>166000</v>
      </c>
      <c r="AO6" s="650"/>
      <c r="AP6" s="651" t="e">
        <f>(#REF!)*1000</f>
        <v>#REF!</v>
      </c>
      <c r="AQ6" s="651" t="e">
        <f>(#REF!)*1000</f>
        <v>#REF!</v>
      </c>
      <c r="AR6" s="65"/>
      <c r="AS6" s="651">
        <v>53000</v>
      </c>
      <c r="AT6" s="651">
        <v>77000</v>
      </c>
      <c r="AU6" s="650"/>
      <c r="AV6" s="651">
        <v>33000</v>
      </c>
      <c r="AW6" s="651">
        <v>40000</v>
      </c>
      <c r="AX6" s="650"/>
      <c r="AY6" s="651"/>
      <c r="AZ6" s="651"/>
      <c r="BA6" s="650"/>
      <c r="BB6" s="651"/>
      <c r="BC6" s="651"/>
      <c r="BD6" s="650"/>
      <c r="BE6" s="651"/>
      <c r="BF6" s="651"/>
      <c r="BG6" s="650"/>
      <c r="BH6" s="601"/>
      <c r="BI6" s="601"/>
      <c r="BJ6" s="613"/>
      <c r="BK6" s="601"/>
      <c r="BL6" s="601"/>
      <c r="BM6" s="613"/>
      <c r="BN6" s="601"/>
      <c r="BO6" s="601"/>
      <c r="BP6" s="613"/>
      <c r="BQ6" s="601"/>
      <c r="BR6" s="601"/>
      <c r="BS6" s="613"/>
      <c r="BT6" s="601"/>
      <c r="BU6" s="614"/>
      <c r="BV6" s="613"/>
      <c r="BW6" s="601"/>
      <c r="BX6" s="601"/>
      <c r="BY6" s="613"/>
      <c r="BZ6" s="461"/>
      <c r="CA6" s="467"/>
      <c r="CB6" s="65"/>
      <c r="CC6" s="461"/>
      <c r="CD6" s="467"/>
      <c r="CE6" s="65"/>
      <c r="CF6" s="461"/>
      <c r="CG6" s="467"/>
      <c r="CH6" s="65"/>
      <c r="CI6" s="461"/>
      <c r="CJ6" s="467"/>
      <c r="CK6" s="65"/>
      <c r="CL6" s="461"/>
      <c r="CM6" s="467"/>
      <c r="CN6" s="177"/>
      <c r="CO6" s="461"/>
      <c r="CP6" s="467"/>
      <c r="CQ6" s="177"/>
      <c r="CR6" s="461"/>
      <c r="CS6" s="467"/>
      <c r="CT6" s="177"/>
      <c r="CU6" s="461"/>
      <c r="CV6" s="467"/>
      <c r="CW6" s="177"/>
      <c r="CX6" s="461"/>
      <c r="CY6" s="467"/>
      <c r="CZ6" s="177"/>
      <c r="DA6" s="461"/>
      <c r="DB6" s="467"/>
      <c r="DC6" s="177"/>
      <c r="DD6" s="461"/>
      <c r="DE6" s="467"/>
      <c r="DF6" s="177"/>
      <c r="DG6" s="461"/>
      <c r="DH6" s="467"/>
      <c r="DI6" s="177"/>
      <c r="DJ6" s="461"/>
      <c r="DK6" s="467"/>
      <c r="DL6" s="177"/>
      <c r="DM6" s="461"/>
      <c r="DN6" s="461"/>
      <c r="DO6" s="177"/>
      <c r="DP6" s="461"/>
      <c r="DQ6" s="467"/>
      <c r="DR6" s="177"/>
      <c r="DS6" s="461"/>
      <c r="DT6" s="461"/>
      <c r="DU6" s="177"/>
      <c r="DV6" s="461"/>
      <c r="DW6" s="467"/>
      <c r="DX6" s="177"/>
      <c r="DY6" s="461"/>
      <c r="DZ6" s="467"/>
      <c r="EA6" s="177"/>
      <c r="EB6" s="461"/>
      <c r="EC6" s="467"/>
      <c r="ED6" s="177"/>
      <c r="EE6" s="339"/>
      <c r="EF6" s="143"/>
      <c r="EG6" s="364"/>
      <c r="EH6" s="339"/>
      <c r="EI6" s="143"/>
      <c r="EJ6" s="364"/>
      <c r="EK6" s="339"/>
      <c r="EL6" s="143"/>
      <c r="EM6" s="364"/>
      <c r="EN6" s="339"/>
      <c r="EO6" s="143"/>
      <c r="EP6" s="364"/>
      <c r="EQ6" s="364"/>
      <c r="ER6" s="339"/>
      <c r="ES6" s="143"/>
      <c r="ET6" s="364"/>
      <c r="EU6" s="339"/>
      <c r="EV6" s="143"/>
      <c r="EW6" s="364"/>
      <c r="EX6" s="339"/>
      <c r="EY6" s="143"/>
      <c r="EZ6" s="364"/>
      <c r="FA6" s="339"/>
      <c r="FB6" s="143"/>
      <c r="FC6" s="364"/>
      <c r="FD6" s="339"/>
      <c r="FE6" s="143"/>
      <c r="FF6" s="364"/>
      <c r="FG6" s="339"/>
      <c r="FH6" s="143"/>
      <c r="FI6" s="364"/>
      <c r="FJ6" s="339"/>
      <c r="FK6" s="143"/>
      <c r="FL6" s="364"/>
      <c r="FM6" s="339"/>
      <c r="FN6" s="143"/>
      <c r="FO6" s="364"/>
      <c r="FP6" s="339"/>
      <c r="FQ6" s="143"/>
      <c r="FR6" s="364"/>
      <c r="FS6" s="339"/>
      <c r="FT6" s="143"/>
      <c r="FU6" s="364"/>
      <c r="FV6" s="339"/>
      <c r="FW6" s="143"/>
      <c r="FX6" s="364"/>
      <c r="FY6" s="339"/>
      <c r="FZ6" s="143"/>
      <c r="GA6" s="364"/>
      <c r="GB6" s="339"/>
      <c r="GC6" s="143"/>
      <c r="GD6" s="364"/>
      <c r="GE6" s="339"/>
      <c r="GF6" s="143"/>
      <c r="GG6" s="364"/>
      <c r="GH6" s="339"/>
      <c r="GI6" s="143"/>
      <c r="GJ6" s="162"/>
      <c r="GK6" s="165"/>
      <c r="GL6" s="155"/>
      <c r="GM6" s="162"/>
      <c r="GN6" s="165"/>
      <c r="GO6" s="155"/>
      <c r="GP6" s="162"/>
      <c r="GQ6" s="165"/>
      <c r="GR6" s="155"/>
      <c r="GS6" s="162"/>
      <c r="GT6" s="165"/>
      <c r="GU6" s="155"/>
      <c r="GV6" s="162"/>
      <c r="GW6" s="165"/>
      <c r="GX6" s="155"/>
      <c r="GY6" s="162"/>
      <c r="GZ6" s="165"/>
      <c r="HA6" s="155"/>
      <c r="HB6" s="162"/>
      <c r="HC6" s="165"/>
      <c r="HD6" s="155"/>
      <c r="HE6" s="162"/>
      <c r="HF6" s="165"/>
      <c r="HG6" s="155"/>
      <c r="HH6" s="162"/>
      <c r="HI6" s="165"/>
      <c r="HJ6" s="155"/>
      <c r="HK6" s="162"/>
      <c r="HL6" s="165"/>
      <c r="HM6" s="155"/>
      <c r="HN6" s="162"/>
      <c r="HO6" s="165"/>
      <c r="HP6" s="155"/>
      <c r="HQ6" s="162"/>
      <c r="HR6" s="155"/>
      <c r="HS6" s="155"/>
      <c r="HT6" s="156"/>
      <c r="HU6" s="155"/>
      <c r="HV6" s="155"/>
      <c r="HW6" s="156"/>
      <c r="HX6" s="155"/>
      <c r="HY6" s="155"/>
      <c r="HZ6" s="156"/>
      <c r="IA6" s="155"/>
      <c r="IB6" s="155"/>
      <c r="IC6" s="156"/>
      <c r="ID6" s="155"/>
      <c r="IE6" s="155"/>
      <c r="IF6" s="156"/>
      <c r="IG6" s="162"/>
      <c r="IH6" s="155"/>
      <c r="II6" s="155"/>
      <c r="IJ6" s="156"/>
      <c r="IK6" s="155"/>
      <c r="IL6" s="155"/>
      <c r="IM6" s="156"/>
      <c r="IN6" s="155"/>
      <c r="IO6" s="155"/>
      <c r="IP6" s="156"/>
      <c r="IQ6" s="166"/>
      <c r="IR6" s="166"/>
      <c r="IS6" s="156"/>
      <c r="IT6" s="156"/>
      <c r="IU6" s="156"/>
      <c r="IV6" s="156"/>
      <c r="IW6" s="156"/>
      <c r="IX6" s="156"/>
      <c r="IY6" s="156"/>
      <c r="IZ6" s="156"/>
      <c r="JA6" s="156"/>
      <c r="JB6" s="156"/>
      <c r="JC6" s="156"/>
      <c r="JD6" s="156"/>
      <c r="JE6" s="156"/>
      <c r="JF6" s="156"/>
      <c r="JG6" s="156"/>
      <c r="JH6" s="156"/>
      <c r="JI6" s="156"/>
      <c r="JJ6" s="156"/>
      <c r="JK6" s="156"/>
      <c r="JL6" s="156"/>
      <c r="JM6" s="156"/>
      <c r="JN6" s="156"/>
      <c r="JO6" s="156"/>
      <c r="JP6" s="156"/>
      <c r="JQ6" s="156"/>
      <c r="JR6" s="156"/>
      <c r="JS6" s="156"/>
      <c r="JT6" s="156"/>
      <c r="JU6" s="156"/>
      <c r="JV6" s="156"/>
      <c r="JW6" s="156"/>
      <c r="JX6" s="156"/>
      <c r="JY6" s="156"/>
      <c r="JZ6" s="156"/>
      <c r="KA6" s="156"/>
      <c r="KB6" s="156"/>
      <c r="KC6" s="156"/>
      <c r="KD6" s="156"/>
      <c r="KE6" s="156"/>
      <c r="KF6" s="156"/>
      <c r="KG6" s="156"/>
      <c r="KH6" s="156"/>
      <c r="KI6" s="156"/>
      <c r="KJ6" s="156"/>
      <c r="KK6" s="156"/>
      <c r="KL6" s="156"/>
      <c r="KM6" s="156"/>
      <c r="KN6" s="156"/>
      <c r="KO6" s="156"/>
      <c r="KP6" s="156"/>
      <c r="KQ6" s="156"/>
      <c r="KR6" s="156"/>
      <c r="KS6" s="156"/>
      <c r="KT6" s="156"/>
      <c r="KU6" s="156"/>
      <c r="KV6" s="156"/>
      <c r="KW6" s="156"/>
      <c r="KX6" s="156"/>
      <c r="KY6" s="156"/>
      <c r="KZ6" s="156"/>
      <c r="LA6" s="156"/>
      <c r="LB6" s="156"/>
      <c r="LC6" s="156"/>
      <c r="LD6" s="156"/>
      <c r="LE6" s="156"/>
      <c r="LF6" s="156"/>
      <c r="LG6" s="156"/>
      <c r="LH6" s="156"/>
      <c r="LI6" s="156"/>
      <c r="LJ6" s="156"/>
      <c r="LK6" s="156"/>
      <c r="LL6" s="156"/>
      <c r="LM6" s="156"/>
      <c r="LN6" s="156"/>
      <c r="LO6" s="156"/>
      <c r="LP6" s="156"/>
      <c r="LQ6" s="156"/>
      <c r="LR6" s="156"/>
      <c r="LS6" s="156"/>
      <c r="LT6" s="156"/>
      <c r="LU6" s="156"/>
      <c r="LV6" s="156"/>
    </row>
    <row r="7" spans="1:334">
      <c r="A7" s="466" t="s">
        <v>578</v>
      </c>
      <c r="B7" s="466"/>
      <c r="C7" s="757">
        <f>'[3]segmenty prez'!$C$38*1000</f>
        <v>234000</v>
      </c>
      <c r="D7" s="781">
        <f>'[3]segmenty prez'!$C$77*1000</f>
        <v>398000</v>
      </c>
      <c r="E7" s="780"/>
      <c r="F7" s="757">
        <f>'[3]segmenty 3 m-ce PREZ'!$C$28*1000</f>
        <v>51000</v>
      </c>
      <c r="G7" s="757">
        <f>'[3]segmenty 3 m-ce PREZ'!$C$60*1000</f>
        <v>207000</v>
      </c>
      <c r="H7" s="780"/>
      <c r="I7" s="708">
        <f>('[4]segmenty prez'!$C$38)*1000</f>
        <v>183000</v>
      </c>
      <c r="J7" s="708">
        <f>('[4]segmenty prez'!$C$77)*1000</f>
        <v>191000</v>
      </c>
      <c r="K7" s="707"/>
      <c r="L7" s="708">
        <f>[5]segmenty!$D$39*1000</f>
        <v>881000</v>
      </c>
      <c r="M7" s="711">
        <f>[5]segmenty!$D$79*1000</f>
        <v>1514000</v>
      </c>
      <c r="N7" s="707"/>
      <c r="O7" s="708">
        <f t="shared" si="11"/>
        <v>364000</v>
      </c>
      <c r="P7" s="711">
        <f t="shared" si="11"/>
        <v>373000</v>
      </c>
      <c r="Q7" s="65"/>
      <c r="R7" s="708">
        <f>'[19]segmenty prez'!$D$35*1000</f>
        <v>517000</v>
      </c>
      <c r="S7" s="711">
        <f>'[19]segmenty prez'!$D$71*1000</f>
        <v>1141000</v>
      </c>
      <c r="T7" s="65"/>
      <c r="U7" s="708">
        <f>('[6]segmenty 3 m-ce PREZ'!$D$25)*1000</f>
        <v>119000</v>
      </c>
      <c r="V7" s="711">
        <f>('[6]segmenty 3 m-ce PREZ'!$D$54)*1000</f>
        <v>909000</v>
      </c>
      <c r="W7" s="65"/>
      <c r="X7" s="708">
        <f>'[7]segmenty prez'!$D$35*1000</f>
        <v>398000</v>
      </c>
      <c r="Y7" s="711">
        <f>'[7]segmenty prez'!$D$71*1000</f>
        <v>232000</v>
      </c>
      <c r="Z7" s="650"/>
      <c r="AA7" s="651">
        <f>'[7]segmenty 3 m-ce PREZ'!$D$25*1000</f>
        <v>207000</v>
      </c>
      <c r="AB7" s="651">
        <f>'[7]segmenty 3 m-ce PREZ'!$D$54*1000</f>
        <v>133000</v>
      </c>
      <c r="AC7" s="650"/>
      <c r="AD7" s="651">
        <f>('[8]segmenty prez'!$D$35)*1000</f>
        <v>191000</v>
      </c>
      <c r="AE7" s="651">
        <f>('[8]segmenty prez'!$D$71)*1000</f>
        <v>99000</v>
      </c>
      <c r="AF7" s="650"/>
      <c r="AG7" s="651">
        <f>[9]segmenty!$D$37*1000</f>
        <v>1514000</v>
      </c>
      <c r="AH7" s="651">
        <f>[9]segmenty!$D$75*1000</f>
        <v>593000</v>
      </c>
      <c r="AI7" s="650"/>
      <c r="AJ7" s="651">
        <f t="shared" si="12"/>
        <v>373000</v>
      </c>
      <c r="AK7" s="651">
        <f t="shared" si="12"/>
        <v>197000</v>
      </c>
      <c r="AL7" s="650"/>
      <c r="AM7" s="651">
        <f>('[10]segmenty prez'!$D$35)*1000</f>
        <v>1141000</v>
      </c>
      <c r="AN7" s="651">
        <f>('[10]segmenty prez'!$D$71)*1000</f>
        <v>396000</v>
      </c>
      <c r="AO7" s="650"/>
      <c r="AP7" s="651" t="e">
        <f>(#REF!)*1000</f>
        <v>#REF!</v>
      </c>
      <c r="AQ7" s="651" t="e">
        <f>(#REF!)*1000</f>
        <v>#REF!</v>
      </c>
      <c r="AR7" s="65"/>
      <c r="AS7" s="651">
        <v>232000</v>
      </c>
      <c r="AT7" s="651">
        <v>310000</v>
      </c>
      <c r="AU7" s="650"/>
      <c r="AV7" s="651">
        <v>133000</v>
      </c>
      <c r="AW7" s="651">
        <v>235000</v>
      </c>
      <c r="AX7" s="650"/>
      <c r="AY7" s="651">
        <f>[11]segmenty!$C$37*1000</f>
        <v>99000</v>
      </c>
      <c r="AZ7" s="651">
        <f>[11]segmenty!$C$75*1000</f>
        <v>75000</v>
      </c>
      <c r="BA7" s="650"/>
      <c r="BB7" s="651">
        <f>([12]segmenty!$C$37)*1000</f>
        <v>593000</v>
      </c>
      <c r="BC7" s="651">
        <f>([12]segmenty!$C$76)*1000</f>
        <v>459000</v>
      </c>
      <c r="BD7" s="650"/>
      <c r="BE7" s="651">
        <f t="shared" si="13"/>
        <v>197000</v>
      </c>
      <c r="BF7" s="651">
        <f t="shared" si="13"/>
        <v>165000</v>
      </c>
      <c r="BG7" s="650"/>
      <c r="BH7" s="601">
        <f>([13]segmenty!$C$37)*1000</f>
        <v>396000</v>
      </c>
      <c r="BI7" s="601">
        <f>([13]segmenty!$C$76)*1000</f>
        <v>294000</v>
      </c>
      <c r="BJ7" s="613"/>
      <c r="BK7" s="601">
        <f>('[13]segmenty 3 m-ce PREZ'!$C$25)*1000</f>
        <v>86000</v>
      </c>
      <c r="BL7" s="601">
        <f>('[13]segmenty 3 m-ce PREZ'!$C$55)*1000</f>
        <v>201000</v>
      </c>
      <c r="BM7" s="613"/>
      <c r="BN7" s="601">
        <f>[14]segmenty!$C$37*1000</f>
        <v>310000</v>
      </c>
      <c r="BO7" s="601">
        <f>[14]segmenty!$C$75*1000</f>
        <v>93000</v>
      </c>
      <c r="BP7" s="613"/>
      <c r="BQ7" s="601">
        <f>('[14]segmenty 3 m-ce PREZ'!$C$25)*1000</f>
        <v>235000</v>
      </c>
      <c r="BR7" s="601">
        <f>('[14]segmenty 3 m-ce PREZ'!$C$54)*1000</f>
        <v>72000</v>
      </c>
      <c r="BS7" s="613"/>
      <c r="BT7" s="601">
        <f t="shared" si="14"/>
        <v>165000</v>
      </c>
      <c r="BU7" s="614">
        <f t="shared" si="14"/>
        <v>41000</v>
      </c>
      <c r="BV7" s="613"/>
      <c r="BW7" s="601">
        <v>459000</v>
      </c>
      <c r="BX7" s="601">
        <v>90000</v>
      </c>
      <c r="BY7" s="613"/>
      <c r="BZ7" s="461">
        <v>201000</v>
      </c>
      <c r="CA7" s="467">
        <v>29000</v>
      </c>
      <c r="CB7" s="65"/>
      <c r="CC7" s="461">
        <v>294000</v>
      </c>
      <c r="CD7" s="467">
        <v>49000</v>
      </c>
      <c r="CE7" s="65"/>
      <c r="CF7" s="461">
        <f t="shared" si="0"/>
        <v>72000</v>
      </c>
      <c r="CG7" s="467">
        <f t="shared" si="0"/>
        <v>15000</v>
      </c>
      <c r="CH7" s="65"/>
      <c r="CI7" s="461">
        <v>93000</v>
      </c>
      <c r="CJ7" s="467">
        <v>20000</v>
      </c>
      <c r="CK7" s="65"/>
      <c r="CL7" s="461">
        <v>21000</v>
      </c>
      <c r="CM7" s="467">
        <v>5000</v>
      </c>
      <c r="CN7" s="177"/>
      <c r="CO7" s="461">
        <f t="shared" si="1"/>
        <v>41417</v>
      </c>
      <c r="CP7" s="467">
        <f t="shared" si="2"/>
        <v>32939</v>
      </c>
      <c r="CQ7" s="177"/>
      <c r="CR7" s="461">
        <v>90000</v>
      </c>
      <c r="CS7" s="467">
        <v>40000</v>
      </c>
      <c r="CT7" s="177"/>
      <c r="CU7" s="461">
        <f t="shared" si="3"/>
        <v>28480</v>
      </c>
      <c r="CV7" s="467">
        <f t="shared" si="3"/>
        <v>1520</v>
      </c>
      <c r="CW7" s="177"/>
      <c r="CX7" s="461">
        <v>48583</v>
      </c>
      <c r="CY7" s="467">
        <v>7061</v>
      </c>
      <c r="CZ7" s="177"/>
      <c r="DA7" s="461">
        <f t="shared" si="4"/>
        <v>15417</v>
      </c>
      <c r="DB7" s="467">
        <f t="shared" si="4"/>
        <v>4370</v>
      </c>
      <c r="DC7" s="177"/>
      <c r="DD7" s="461">
        <v>20103</v>
      </c>
      <c r="DE7" s="467">
        <v>5541</v>
      </c>
      <c r="DF7" s="177"/>
      <c r="DG7" s="461">
        <v>4686</v>
      </c>
      <c r="DH7" s="467">
        <v>1171</v>
      </c>
      <c r="DI7" s="177"/>
      <c r="DJ7" s="461">
        <f t="shared" si="5"/>
        <v>32605</v>
      </c>
      <c r="DK7" s="467">
        <f t="shared" si="6"/>
        <v>6836</v>
      </c>
      <c r="DL7" s="177"/>
      <c r="DM7" s="461">
        <v>39666</v>
      </c>
      <c r="DN7" s="461">
        <v>13885</v>
      </c>
      <c r="DO7" s="177"/>
      <c r="DP7" s="461">
        <f t="shared" si="7"/>
        <v>1520</v>
      </c>
      <c r="DQ7" s="467">
        <f t="shared" si="7"/>
        <v>3189</v>
      </c>
      <c r="DR7" s="177"/>
      <c r="DS7" s="461">
        <v>7061</v>
      </c>
      <c r="DT7" s="461">
        <v>7049</v>
      </c>
      <c r="DU7" s="177"/>
      <c r="DV7" s="461">
        <f t="shared" si="8"/>
        <v>4370</v>
      </c>
      <c r="DW7" s="467">
        <f t="shared" si="9"/>
        <v>2629</v>
      </c>
      <c r="DX7" s="177"/>
      <c r="DY7" s="461">
        <v>5541</v>
      </c>
      <c r="DZ7" s="467">
        <v>3860</v>
      </c>
      <c r="EA7" s="177"/>
      <c r="EB7" s="461">
        <v>1171</v>
      </c>
      <c r="EC7" s="467">
        <v>1231</v>
      </c>
      <c r="ED7" s="177"/>
      <c r="EE7" s="339"/>
      <c r="EF7" s="143"/>
      <c r="EG7" s="364"/>
      <c r="EH7" s="339"/>
      <c r="EI7" s="143"/>
      <c r="EJ7" s="364"/>
      <c r="EK7" s="339"/>
      <c r="EL7" s="143"/>
      <c r="EM7" s="364"/>
      <c r="EN7" s="339"/>
      <c r="EO7" s="143"/>
      <c r="EP7" s="364"/>
      <c r="EQ7" s="364"/>
      <c r="ER7" s="339"/>
      <c r="ES7" s="143"/>
      <c r="ET7" s="364"/>
      <c r="EU7" s="339"/>
      <c r="EV7" s="143"/>
      <c r="EW7" s="364"/>
      <c r="EX7" s="339"/>
      <c r="EY7" s="143"/>
      <c r="EZ7" s="364"/>
      <c r="FA7" s="339"/>
      <c r="FB7" s="143"/>
      <c r="FC7" s="364"/>
      <c r="FD7" s="339"/>
      <c r="FE7" s="143"/>
      <c r="FF7" s="364"/>
      <c r="FG7" s="339"/>
      <c r="FH7" s="143"/>
      <c r="FI7" s="364"/>
      <c r="FJ7" s="339"/>
      <c r="FK7" s="143"/>
      <c r="FL7" s="364"/>
      <c r="FM7" s="339"/>
      <c r="FN7" s="143"/>
      <c r="FO7" s="364"/>
      <c r="FP7" s="339"/>
      <c r="FQ7" s="143"/>
      <c r="FR7" s="364"/>
      <c r="FS7" s="339"/>
      <c r="FT7" s="143"/>
      <c r="FU7" s="364"/>
      <c r="FV7" s="339"/>
      <c r="FW7" s="143"/>
      <c r="FX7" s="364"/>
      <c r="FY7" s="339"/>
      <c r="FZ7" s="143"/>
      <c r="GA7" s="364"/>
      <c r="GB7" s="339"/>
      <c r="GC7" s="143"/>
      <c r="GD7" s="364"/>
      <c r="GE7" s="339"/>
      <c r="GF7" s="143"/>
      <c r="GG7" s="364"/>
      <c r="GH7" s="339"/>
      <c r="GI7" s="143"/>
      <c r="GJ7" s="162"/>
      <c r="GK7" s="165"/>
      <c r="GL7" s="155"/>
      <c r="GM7" s="162"/>
      <c r="GN7" s="165"/>
      <c r="GO7" s="155"/>
      <c r="GP7" s="162"/>
      <c r="GQ7" s="165"/>
      <c r="GR7" s="155"/>
      <c r="GS7" s="162"/>
      <c r="GT7" s="165"/>
      <c r="GU7" s="155"/>
      <c r="GV7" s="162"/>
      <c r="GW7" s="165"/>
      <c r="GX7" s="155"/>
      <c r="GY7" s="162"/>
      <c r="GZ7" s="165"/>
      <c r="HA7" s="155"/>
      <c r="HB7" s="162"/>
      <c r="HC7" s="165"/>
      <c r="HD7" s="155"/>
      <c r="HE7" s="162"/>
      <c r="HF7" s="165"/>
      <c r="HG7" s="155"/>
      <c r="HH7" s="162"/>
      <c r="HI7" s="165"/>
      <c r="HJ7" s="155"/>
      <c r="HK7" s="162"/>
      <c r="HL7" s="165"/>
      <c r="HM7" s="155"/>
      <c r="HN7" s="162"/>
      <c r="HO7" s="165"/>
      <c r="HP7" s="155"/>
      <c r="HQ7" s="162"/>
      <c r="HR7" s="155"/>
      <c r="HS7" s="155"/>
      <c r="HT7" s="156"/>
      <c r="HU7" s="155"/>
      <c r="HV7" s="155"/>
      <c r="HW7" s="156"/>
      <c r="HX7" s="155"/>
      <c r="HY7" s="155"/>
      <c r="HZ7" s="156"/>
      <c r="IA7" s="155"/>
      <c r="IB7" s="155"/>
      <c r="IC7" s="156"/>
      <c r="ID7" s="155"/>
      <c r="IE7" s="155"/>
      <c r="IF7" s="156"/>
      <c r="IG7" s="162"/>
      <c r="IH7" s="155"/>
      <c r="II7" s="155"/>
      <c r="IJ7" s="156"/>
      <c r="IK7" s="155"/>
      <c r="IL7" s="155"/>
      <c r="IM7" s="156"/>
      <c r="IN7" s="155"/>
      <c r="IO7" s="155"/>
      <c r="IP7" s="156"/>
      <c r="IQ7" s="166"/>
      <c r="IR7" s="16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  <c r="JD7" s="156"/>
      <c r="JE7" s="156"/>
      <c r="JF7" s="156"/>
      <c r="JG7" s="156"/>
      <c r="JH7" s="156"/>
      <c r="JI7" s="156"/>
      <c r="JJ7" s="156"/>
      <c r="JK7" s="156"/>
      <c r="JL7" s="156"/>
      <c r="JM7" s="156"/>
      <c r="JN7" s="156"/>
      <c r="JO7" s="156"/>
      <c r="JP7" s="156"/>
      <c r="JQ7" s="156"/>
      <c r="JR7" s="156"/>
      <c r="JS7" s="156"/>
      <c r="JT7" s="156"/>
      <c r="JU7" s="156"/>
      <c r="JV7" s="156"/>
      <c r="JW7" s="156"/>
      <c r="JX7" s="156"/>
      <c r="JY7" s="156"/>
      <c r="JZ7" s="156"/>
      <c r="KA7" s="156"/>
      <c r="KB7" s="156"/>
      <c r="KC7" s="156"/>
      <c r="KD7" s="156"/>
      <c r="KE7" s="156"/>
      <c r="KF7" s="156"/>
      <c r="KG7" s="156"/>
      <c r="KH7" s="156"/>
      <c r="KI7" s="156"/>
      <c r="KJ7" s="156"/>
      <c r="KK7" s="156"/>
      <c r="KL7" s="156"/>
      <c r="KM7" s="156"/>
      <c r="KN7" s="156"/>
      <c r="KO7" s="156"/>
      <c r="KP7" s="156"/>
      <c r="KQ7" s="156"/>
      <c r="KR7" s="156"/>
      <c r="KS7" s="156"/>
      <c r="KT7" s="156"/>
      <c r="KU7" s="156"/>
      <c r="KV7" s="156"/>
      <c r="KW7" s="156"/>
      <c r="KX7" s="156"/>
      <c r="KY7" s="156"/>
      <c r="KZ7" s="156"/>
      <c r="LA7" s="156"/>
      <c r="LB7" s="156"/>
      <c r="LC7" s="156"/>
      <c r="LD7" s="156"/>
      <c r="LE7" s="156"/>
      <c r="LF7" s="156"/>
      <c r="LG7" s="156"/>
      <c r="LH7" s="156"/>
      <c r="LI7" s="156"/>
      <c r="LJ7" s="156"/>
      <c r="LK7" s="156"/>
      <c r="LL7" s="156"/>
      <c r="LM7" s="156"/>
      <c r="LN7" s="156"/>
      <c r="LO7" s="156"/>
      <c r="LP7" s="156"/>
      <c r="LQ7" s="156"/>
      <c r="LR7" s="156"/>
      <c r="LS7" s="156"/>
      <c r="LT7" s="156"/>
      <c r="LU7" s="156"/>
      <c r="LV7" s="156"/>
    </row>
    <row r="8" spans="1:334">
      <c r="A8" s="65" t="s">
        <v>83</v>
      </c>
      <c r="B8" s="65"/>
      <c r="C8" s="756">
        <f>'[3]segmenty prez'!$B$38*1000</f>
        <v>1729000</v>
      </c>
      <c r="D8" s="782">
        <f>'[3]segmenty prez'!$B$77*1000</f>
        <v>1590000</v>
      </c>
      <c r="E8" s="780"/>
      <c r="F8" s="756">
        <f>'[3]segmenty 3 m-ce PREZ'!$B$28*1000</f>
        <v>929000</v>
      </c>
      <c r="G8" s="756">
        <f>'[3]segmenty 3 m-ce PREZ'!$B$60*1000</f>
        <v>822000</v>
      </c>
      <c r="H8" s="780"/>
      <c r="I8" s="709">
        <f>('[4]segmenty prez'!$B$38)*1000</f>
        <v>800000</v>
      </c>
      <c r="J8" s="709">
        <f>('[4]segmenty prez'!$B$77)*1000</f>
        <v>768000</v>
      </c>
      <c r="K8" s="65"/>
      <c r="L8" s="709">
        <f>[5]segmenty!$E$39*1000</f>
        <v>3831000</v>
      </c>
      <c r="M8" s="712">
        <f>[5]segmenty!$E$79*1000</f>
        <v>3103000</v>
      </c>
      <c r="N8" s="65"/>
      <c r="O8" s="708">
        <f t="shared" si="11"/>
        <v>1286000</v>
      </c>
      <c r="P8" s="711">
        <f t="shared" si="11"/>
        <v>939000</v>
      </c>
      <c r="Q8" s="65"/>
      <c r="R8" s="709">
        <f>'[19]segmenty prez'!$E$35*1000</f>
        <v>2545000</v>
      </c>
      <c r="S8" s="712">
        <f>'[19]segmenty prez'!$E$71*1000</f>
        <v>2164000</v>
      </c>
      <c r="T8" s="65"/>
      <c r="U8" s="709">
        <f>('[6]segmenty 3 m-ce PREZ'!$E$25)*1000</f>
        <v>955000</v>
      </c>
      <c r="V8" s="712">
        <f>('[6]segmenty 3 m-ce PREZ'!$E$54)*1000</f>
        <v>764000</v>
      </c>
      <c r="W8" s="65"/>
      <c r="X8" s="709">
        <f>'[7]segmenty prez'!$E$35*1000</f>
        <v>1590000</v>
      </c>
      <c r="Y8" s="712">
        <f>'[7]segmenty prez'!$E$71*1000</f>
        <v>1400000</v>
      </c>
      <c r="Z8" s="650"/>
      <c r="AA8" s="652">
        <f>'[7]segmenty 3 m-ce PREZ'!$E$25*1000</f>
        <v>822000</v>
      </c>
      <c r="AB8" s="652">
        <f>'[7]segmenty 3 m-ce PREZ'!$E$54*1000</f>
        <v>743000</v>
      </c>
      <c r="AC8" s="650"/>
      <c r="AD8" s="652">
        <f>('[8]segmenty prez'!$E$35)*1000</f>
        <v>768000</v>
      </c>
      <c r="AE8" s="652">
        <f>('[8]segmenty prez'!$E$71)*1000</f>
        <v>657000</v>
      </c>
      <c r="AF8" s="650"/>
      <c r="AG8" s="652">
        <f>[9]segmenty!$E$37*1000</f>
        <v>3103000</v>
      </c>
      <c r="AH8" s="652">
        <f>[9]segmenty!$E$75*1000</f>
        <v>2763000</v>
      </c>
      <c r="AI8" s="650"/>
      <c r="AJ8" s="651">
        <f t="shared" si="12"/>
        <v>939000</v>
      </c>
      <c r="AK8" s="651">
        <f t="shared" si="12"/>
        <v>867000</v>
      </c>
      <c r="AL8" s="650"/>
      <c r="AM8" s="652">
        <f>('[10]segmenty prez'!$E$35)*1000</f>
        <v>2164000</v>
      </c>
      <c r="AN8" s="652">
        <f>('[10]segmenty prez'!$E$71)*1000</f>
        <v>1896000</v>
      </c>
      <c r="AO8" s="650"/>
      <c r="AP8" s="652" t="e">
        <f>(#REF!)*1000</f>
        <v>#REF!</v>
      </c>
      <c r="AQ8" s="652" t="e">
        <f>(#REF!)*1000</f>
        <v>#REF!</v>
      </c>
      <c r="AR8" s="65"/>
      <c r="AS8" s="652">
        <v>1400000</v>
      </c>
      <c r="AT8" s="652">
        <v>1220000</v>
      </c>
      <c r="AU8" s="650"/>
      <c r="AV8" s="652">
        <v>743000</v>
      </c>
      <c r="AW8" s="652">
        <v>646000</v>
      </c>
      <c r="AX8" s="650"/>
      <c r="AY8" s="652">
        <f>[11]segmenty!$D$37*1000</f>
        <v>657000</v>
      </c>
      <c r="AZ8" s="652">
        <f>[11]segmenty!$D$75*1000</f>
        <v>574000</v>
      </c>
      <c r="BA8" s="650"/>
      <c r="BB8" s="652">
        <f>([12]segmenty!$D$37)*1000</f>
        <v>2762000</v>
      </c>
      <c r="BC8" s="652">
        <f>([12]segmenty!$D$76)*1000</f>
        <v>2137000</v>
      </c>
      <c r="BD8" s="650"/>
      <c r="BE8" s="652">
        <f t="shared" si="13"/>
        <v>866000</v>
      </c>
      <c r="BF8" s="652">
        <f t="shared" si="13"/>
        <v>699000</v>
      </c>
      <c r="BG8" s="650"/>
      <c r="BH8" s="600">
        <f>([13]segmenty!$D$37)*1000</f>
        <v>1896000</v>
      </c>
      <c r="BI8" s="600">
        <f>([13]segmenty!$D$76)*1000</f>
        <v>1438000</v>
      </c>
      <c r="BJ8" s="613"/>
      <c r="BK8" s="600">
        <f>('[13]segmenty 3 m-ce PREZ'!$D$25)*1000</f>
        <v>676000</v>
      </c>
      <c r="BL8" s="600">
        <f>('[13]segmenty 3 m-ce PREZ'!$D$55)*1000</f>
        <v>560000</v>
      </c>
      <c r="BM8" s="613"/>
      <c r="BN8" s="600">
        <f>[14]segmenty!$D$37*1000</f>
        <v>1220000</v>
      </c>
      <c r="BO8" s="600">
        <f>[14]segmenty!$D$75*1000</f>
        <v>878000</v>
      </c>
      <c r="BP8" s="613"/>
      <c r="BQ8" s="600">
        <f>('[14]segmenty 3 m-ce PREZ'!$D$25)*1000</f>
        <v>646000</v>
      </c>
      <c r="BR8" s="600">
        <f>('[14]segmenty 3 m-ce PREZ'!$D$54)*1000</f>
        <v>472000</v>
      </c>
      <c r="BS8" s="613"/>
      <c r="BT8" s="600">
        <f t="shared" si="14"/>
        <v>699000</v>
      </c>
      <c r="BU8" s="615">
        <f t="shared" si="14"/>
        <v>682000</v>
      </c>
      <c r="BV8" s="613"/>
      <c r="BW8" s="600">
        <v>2137000</v>
      </c>
      <c r="BX8" s="600">
        <v>2044000</v>
      </c>
      <c r="BY8" s="613"/>
      <c r="BZ8" s="334">
        <v>560000</v>
      </c>
      <c r="CA8" s="143">
        <v>440000</v>
      </c>
      <c r="CB8" s="65"/>
      <c r="CC8" s="334">
        <v>1438000</v>
      </c>
      <c r="CD8" s="143">
        <v>1362000</v>
      </c>
      <c r="CE8" s="65"/>
      <c r="CF8" s="334">
        <f t="shared" si="0"/>
        <v>472000</v>
      </c>
      <c r="CG8" s="143">
        <f t="shared" si="0"/>
        <v>465000</v>
      </c>
      <c r="CH8" s="65"/>
      <c r="CI8" s="334">
        <v>878000</v>
      </c>
      <c r="CJ8" s="143">
        <v>922000</v>
      </c>
      <c r="CK8" s="65"/>
      <c r="CL8" s="334">
        <v>406000</v>
      </c>
      <c r="CM8" s="143">
        <v>457000</v>
      </c>
      <c r="CN8" s="162"/>
      <c r="CO8" s="334">
        <f t="shared" si="1"/>
        <v>681753</v>
      </c>
      <c r="CP8" s="143">
        <f t="shared" si="2"/>
        <v>592029</v>
      </c>
      <c r="CQ8" s="162"/>
      <c r="CR8" s="334">
        <v>2044000</v>
      </c>
      <c r="CS8" s="143">
        <v>1908000</v>
      </c>
      <c r="CT8" s="162"/>
      <c r="CU8" s="334">
        <f t="shared" si="3"/>
        <v>440616</v>
      </c>
      <c r="CV8" s="143">
        <f t="shared" si="3"/>
        <v>407696</v>
      </c>
      <c r="CW8" s="162"/>
      <c r="CX8" s="334">
        <v>1362247</v>
      </c>
      <c r="CY8" s="143">
        <v>1315971</v>
      </c>
      <c r="CZ8" s="162"/>
      <c r="DA8" s="334">
        <f t="shared" si="4"/>
        <v>464685</v>
      </c>
      <c r="DB8" s="143">
        <f t="shared" si="4"/>
        <v>422939</v>
      </c>
      <c r="DC8" s="162"/>
      <c r="DD8" s="334">
        <v>921631</v>
      </c>
      <c r="DE8" s="143">
        <v>908275</v>
      </c>
      <c r="DF8" s="162"/>
      <c r="DG8" s="334">
        <v>456946</v>
      </c>
      <c r="DH8" s="143">
        <v>485336</v>
      </c>
      <c r="DI8" s="162"/>
      <c r="DJ8" s="334">
        <f t="shared" si="5"/>
        <v>591976</v>
      </c>
      <c r="DK8" s="143">
        <f t="shared" si="6"/>
        <v>454102</v>
      </c>
      <c r="DL8" s="162"/>
      <c r="DM8" s="334">
        <v>1907947</v>
      </c>
      <c r="DN8" s="334">
        <v>1784941</v>
      </c>
      <c r="DO8" s="162"/>
      <c r="DP8" s="334">
        <f t="shared" si="7"/>
        <v>407696</v>
      </c>
      <c r="DQ8" s="143">
        <f t="shared" si="7"/>
        <v>468167</v>
      </c>
      <c r="DR8" s="162"/>
      <c r="DS8" s="334">
        <v>1315971</v>
      </c>
      <c r="DT8" s="334">
        <v>1330839</v>
      </c>
      <c r="DU8" s="162"/>
      <c r="DV8" s="334">
        <f t="shared" si="8"/>
        <v>422939</v>
      </c>
      <c r="DW8" s="143">
        <f t="shared" si="9"/>
        <v>511909</v>
      </c>
      <c r="DX8" s="162"/>
      <c r="DY8" s="334">
        <v>908275</v>
      </c>
      <c r="DZ8" s="143">
        <v>862672</v>
      </c>
      <c r="EA8" s="162"/>
      <c r="EB8" s="334">
        <v>485336</v>
      </c>
      <c r="EC8" s="143">
        <v>350763</v>
      </c>
      <c r="ED8" s="162"/>
      <c r="EE8" s="339">
        <v>1784941</v>
      </c>
      <c r="EF8" s="143">
        <v>2014507</v>
      </c>
      <c r="EG8" s="364"/>
      <c r="EH8" s="339">
        <v>454102</v>
      </c>
      <c r="EI8" s="143">
        <v>827817</v>
      </c>
      <c r="EJ8" s="364"/>
      <c r="EK8" s="339">
        <v>1330839</v>
      </c>
      <c r="EL8" s="143">
        <v>1186690</v>
      </c>
      <c r="EM8" s="364"/>
      <c r="EN8" s="339">
        <v>468167</v>
      </c>
      <c r="EO8" s="143">
        <v>413530</v>
      </c>
      <c r="EP8" s="364"/>
      <c r="EQ8" s="364"/>
      <c r="ER8" s="339">
        <v>862672</v>
      </c>
      <c r="ES8" s="143">
        <v>773160</v>
      </c>
      <c r="ET8" s="364"/>
      <c r="EU8" s="339">
        <v>511909</v>
      </c>
      <c r="EV8" s="143">
        <v>504015</v>
      </c>
      <c r="EW8" s="364"/>
      <c r="EX8" s="339">
        <v>350763</v>
      </c>
      <c r="EY8" s="143">
        <v>269145</v>
      </c>
      <c r="EZ8" s="364"/>
      <c r="FA8" s="339">
        <v>2044029</v>
      </c>
      <c r="FB8" s="143">
        <v>1693016</v>
      </c>
      <c r="FC8" s="364"/>
      <c r="FD8" s="339">
        <f t="shared" si="10"/>
        <v>835089</v>
      </c>
      <c r="FE8" s="143">
        <f t="shared" si="10"/>
        <v>720476</v>
      </c>
      <c r="FF8" s="364"/>
      <c r="FG8" s="339">
        <v>1208940</v>
      </c>
      <c r="FH8" s="143">
        <v>972540</v>
      </c>
      <c r="FI8" s="364"/>
      <c r="FJ8" s="339">
        <v>415462</v>
      </c>
      <c r="FK8" s="143">
        <v>367910</v>
      </c>
      <c r="FL8" s="364"/>
      <c r="FM8" s="339">
        <v>793478</v>
      </c>
      <c r="FN8" s="143">
        <v>604630</v>
      </c>
      <c r="FO8" s="364"/>
      <c r="FP8" s="339">
        <v>519997</v>
      </c>
      <c r="FQ8" s="143">
        <v>342543</v>
      </c>
      <c r="FR8" s="364"/>
      <c r="FS8" s="339">
        <v>273481</v>
      </c>
      <c r="FT8" s="143">
        <v>262087</v>
      </c>
      <c r="FU8" s="364"/>
      <c r="FV8" s="339">
        <v>1693016</v>
      </c>
      <c r="FW8" s="143">
        <v>1806054</v>
      </c>
      <c r="FX8" s="364"/>
      <c r="FY8" s="339">
        <v>720476</v>
      </c>
      <c r="FZ8" s="143">
        <v>634676</v>
      </c>
      <c r="GA8" s="364"/>
      <c r="GB8" s="339">
        <v>972540</v>
      </c>
      <c r="GC8" s="143">
        <v>1171378</v>
      </c>
      <c r="GD8" s="364"/>
      <c r="GE8" s="339">
        <v>367910</v>
      </c>
      <c r="GF8" s="143">
        <v>427039</v>
      </c>
      <c r="GG8" s="364"/>
      <c r="GH8" s="339">
        <v>604630</v>
      </c>
      <c r="GI8" s="143">
        <v>744339</v>
      </c>
      <c r="GJ8" s="162"/>
      <c r="GK8" s="165">
        <v>342543</v>
      </c>
      <c r="GL8" s="155">
        <v>416024</v>
      </c>
      <c r="GM8" s="162"/>
      <c r="GN8" s="165">
        <v>262087</v>
      </c>
      <c r="GO8" s="155">
        <v>328315</v>
      </c>
      <c r="GP8" s="162"/>
      <c r="GQ8" s="165">
        <v>1806054</v>
      </c>
      <c r="GR8" s="155">
        <v>1924886</v>
      </c>
      <c r="GS8" s="162"/>
      <c r="GT8" s="165">
        <v>634676</v>
      </c>
      <c r="GU8" s="155">
        <v>791335</v>
      </c>
      <c r="GV8" s="162"/>
      <c r="GW8" s="165">
        <v>1171378</v>
      </c>
      <c r="GX8" s="155">
        <v>1133551</v>
      </c>
      <c r="GY8" s="162"/>
      <c r="GZ8" s="165">
        <v>427039</v>
      </c>
      <c r="HA8" s="155">
        <v>437305</v>
      </c>
      <c r="HB8" s="162"/>
      <c r="HC8" s="165">
        <v>744339</v>
      </c>
      <c r="HD8" s="155">
        <v>696246</v>
      </c>
      <c r="HE8" s="162"/>
      <c r="HF8" s="165">
        <v>416024</v>
      </c>
      <c r="HG8" s="155">
        <v>410845</v>
      </c>
      <c r="HH8" s="162"/>
      <c r="HI8" s="165">
        <v>328315</v>
      </c>
      <c r="HJ8" s="155">
        <v>285401</v>
      </c>
      <c r="HK8" s="162"/>
      <c r="HL8" s="165">
        <v>1924886</v>
      </c>
      <c r="HM8" s="155">
        <v>1934781</v>
      </c>
      <c r="HN8" s="162"/>
      <c r="HO8" s="165">
        <v>791335</v>
      </c>
      <c r="HP8" s="155">
        <v>648958</v>
      </c>
      <c r="HQ8" s="162"/>
      <c r="HR8" s="155">
        <v>1133551</v>
      </c>
      <c r="HS8" s="155">
        <v>1285823</v>
      </c>
      <c r="HT8" s="156"/>
      <c r="HU8" s="155">
        <v>437305</v>
      </c>
      <c r="HV8" s="155">
        <v>444335</v>
      </c>
      <c r="HW8" s="156"/>
      <c r="HX8" s="155">
        <v>696246</v>
      </c>
      <c r="HY8" s="155">
        <v>841488</v>
      </c>
      <c r="HZ8" s="156"/>
      <c r="IA8" s="155">
        <v>410845</v>
      </c>
      <c r="IB8" s="155">
        <v>461646</v>
      </c>
      <c r="IC8" s="156"/>
      <c r="ID8" s="155">
        <v>285401</v>
      </c>
      <c r="IE8" s="155">
        <v>379842</v>
      </c>
      <c r="IF8" s="156"/>
      <c r="IG8" s="162" t="s">
        <v>21</v>
      </c>
      <c r="IH8" s="155">
        <v>115951</v>
      </c>
      <c r="II8" s="155">
        <v>606915</v>
      </c>
      <c r="IJ8" s="156"/>
      <c r="IK8" s="155">
        <v>79784</v>
      </c>
      <c r="IL8" s="155">
        <v>438534</v>
      </c>
      <c r="IM8" s="156"/>
      <c r="IN8" s="155">
        <v>57697</v>
      </c>
      <c r="IO8" s="155">
        <v>247822</v>
      </c>
      <c r="IP8" s="156"/>
      <c r="IQ8" s="166">
        <v>606915</v>
      </c>
      <c r="IR8" s="166">
        <v>340396</v>
      </c>
      <c r="IS8" s="156"/>
      <c r="IT8" s="156"/>
      <c r="IU8" s="156"/>
      <c r="IV8" s="156"/>
      <c r="IW8" s="156"/>
      <c r="IX8" s="156"/>
      <c r="IY8" s="156"/>
      <c r="IZ8" s="156"/>
      <c r="JA8" s="156"/>
      <c r="JB8" s="156"/>
      <c r="JC8" s="156"/>
      <c r="JD8" s="156"/>
      <c r="JE8" s="156"/>
      <c r="JF8" s="156"/>
      <c r="JG8" s="156"/>
      <c r="JH8" s="156"/>
      <c r="JI8" s="156"/>
      <c r="JJ8" s="156"/>
      <c r="JK8" s="156"/>
      <c r="JL8" s="156"/>
      <c r="JM8" s="156"/>
      <c r="JN8" s="156"/>
      <c r="JO8" s="156"/>
      <c r="JP8" s="156"/>
      <c r="JQ8" s="156"/>
      <c r="JR8" s="156"/>
      <c r="JS8" s="156"/>
      <c r="JT8" s="156"/>
      <c r="JU8" s="156"/>
      <c r="JV8" s="156"/>
      <c r="JW8" s="156"/>
      <c r="JX8" s="156"/>
      <c r="JY8" s="156"/>
      <c r="JZ8" s="156"/>
      <c r="KA8" s="156"/>
      <c r="KB8" s="156"/>
      <c r="KC8" s="156"/>
      <c r="KD8" s="156"/>
      <c r="KE8" s="156"/>
      <c r="KF8" s="156"/>
      <c r="KG8" s="156"/>
      <c r="KH8" s="156"/>
      <c r="KI8" s="156"/>
      <c r="KJ8" s="156"/>
      <c r="KK8" s="156"/>
      <c r="KL8" s="156"/>
      <c r="KM8" s="156"/>
      <c r="KN8" s="156"/>
      <c r="KO8" s="156"/>
      <c r="KP8" s="156"/>
      <c r="KQ8" s="156"/>
      <c r="KR8" s="156"/>
      <c r="KS8" s="156"/>
      <c r="KT8" s="156"/>
      <c r="KU8" s="156"/>
      <c r="KV8" s="156"/>
      <c r="KW8" s="156"/>
      <c r="KX8" s="156"/>
      <c r="KY8" s="156"/>
      <c r="KZ8" s="156"/>
      <c r="LA8" s="156"/>
      <c r="LB8" s="156"/>
      <c r="LC8" s="156"/>
      <c r="LD8" s="156"/>
      <c r="LE8" s="156"/>
      <c r="LF8" s="156"/>
      <c r="LG8" s="156"/>
      <c r="LH8" s="156"/>
      <c r="LI8" s="156"/>
      <c r="LJ8" s="156"/>
      <c r="LK8" s="156"/>
      <c r="LL8" s="156"/>
      <c r="LM8" s="156"/>
      <c r="LN8" s="156"/>
      <c r="LO8" s="156"/>
      <c r="LP8" s="156"/>
      <c r="LQ8" s="156"/>
      <c r="LR8" s="156"/>
      <c r="LS8" s="156"/>
      <c r="LT8" s="156"/>
      <c r="LU8" s="156"/>
      <c r="LV8" s="156"/>
    </row>
    <row r="9" spans="1:334" ht="15.5">
      <c r="A9" s="65" t="s">
        <v>84</v>
      </c>
      <c r="B9" s="65"/>
      <c r="C9" s="756">
        <f>'[3]segmenty prez'!$E$38*1000</f>
        <v>2000</v>
      </c>
      <c r="D9" s="782">
        <f>'[3]segmenty prez'!$E$77*1000</f>
        <v>1000</v>
      </c>
      <c r="E9" s="780"/>
      <c r="F9" s="756">
        <f>'[3]segmenty 3 m-ce PREZ'!$E$28*1000</f>
        <v>1000</v>
      </c>
      <c r="G9" s="756">
        <f>'[3]segmenty 3 m-ce PREZ'!$E$60*1000</f>
        <v>0</v>
      </c>
      <c r="H9" s="780"/>
      <c r="I9" s="709">
        <f>('[4]segmenty prez'!$E$38)*1000</f>
        <v>1000</v>
      </c>
      <c r="J9" s="709">
        <f>('[4]segmenty prez'!$E$77)*1000</f>
        <v>1000</v>
      </c>
      <c r="K9" s="65"/>
      <c r="L9" s="709">
        <f>[5]segmenty!$F$39*1000</f>
        <v>3000</v>
      </c>
      <c r="M9" s="712">
        <f>[5]segmenty!$F$79*1000</f>
        <v>5000</v>
      </c>
      <c r="N9" s="65"/>
      <c r="O9" s="708">
        <f t="shared" si="11"/>
        <v>1000</v>
      </c>
      <c r="P9" s="711">
        <f t="shared" si="11"/>
        <v>1000</v>
      </c>
      <c r="Q9" s="65"/>
      <c r="R9" s="709">
        <f>'[19]segmenty prez'!$F$35*1000</f>
        <v>2000</v>
      </c>
      <c r="S9" s="712">
        <f>'[19]segmenty prez'!$F$71*1000</f>
        <v>4000</v>
      </c>
      <c r="T9" s="65"/>
      <c r="U9" s="709">
        <f>('[6]segmenty 3 m-ce PREZ'!$F$25)*1000</f>
        <v>1000</v>
      </c>
      <c r="V9" s="712">
        <f>('[6]segmenty 3 m-ce PREZ'!$F$54)*1000</f>
        <v>2000</v>
      </c>
      <c r="W9" s="65"/>
      <c r="X9" s="709">
        <f>'[7]segmenty prez'!$F$35*1000</f>
        <v>1000</v>
      </c>
      <c r="Y9" s="712">
        <f>'[7]segmenty prez'!$F$71*1000</f>
        <v>2000</v>
      </c>
      <c r="Z9" s="650"/>
      <c r="AA9" s="652">
        <f>'[7]segmenty 3 m-ce PREZ'!$F$25*1000</f>
        <v>0</v>
      </c>
      <c r="AB9" s="652">
        <f>'[7]segmenty 3 m-ce PREZ'!$F$54*1000</f>
        <v>1000</v>
      </c>
      <c r="AC9" s="650"/>
      <c r="AD9" s="652">
        <f>('[8]segmenty prez'!$F$35)*1000</f>
        <v>1000</v>
      </c>
      <c r="AE9" s="652">
        <f>('[8]segmenty prez'!$F$71)*1000</f>
        <v>1000</v>
      </c>
      <c r="AF9" s="650"/>
      <c r="AG9" s="652">
        <f>[9]segmenty!$F$37*1000</f>
        <v>75000</v>
      </c>
      <c r="AH9" s="652">
        <f>[9]segmenty!$F$75*1000</f>
        <v>109000</v>
      </c>
      <c r="AI9" s="650"/>
      <c r="AJ9" s="651">
        <f t="shared" si="12"/>
        <v>28000</v>
      </c>
      <c r="AK9" s="651">
        <f t="shared" si="12"/>
        <v>39000</v>
      </c>
      <c r="AL9" s="650"/>
      <c r="AM9" s="652">
        <f>('[10]segmenty prez'!$F$35)*1000</f>
        <v>47000</v>
      </c>
      <c r="AN9" s="652">
        <f>('[10]segmenty prez'!$F$71)*1000</f>
        <v>70000</v>
      </c>
      <c r="AO9" s="650"/>
      <c r="AP9" s="652" t="e">
        <f>(#REF!)*1000</f>
        <v>#REF!</v>
      </c>
      <c r="AQ9" s="652" t="e">
        <f>(#REF!)*1000</f>
        <v>#REF!</v>
      </c>
      <c r="AR9" s="65"/>
      <c r="AS9" s="652">
        <v>31000</v>
      </c>
      <c r="AT9" s="652">
        <v>46000</v>
      </c>
      <c r="AU9" s="650"/>
      <c r="AV9" s="652">
        <v>18000</v>
      </c>
      <c r="AW9" s="652">
        <v>22000</v>
      </c>
      <c r="AX9" s="650"/>
      <c r="AY9" s="652">
        <f>[11]segmenty!$E$37*1000</f>
        <v>13000</v>
      </c>
      <c r="AZ9" s="652">
        <f>[11]segmenty!$E$75*1000</f>
        <v>24000</v>
      </c>
      <c r="BA9" s="650"/>
      <c r="BB9" s="652">
        <f>([12]segmenty!$E$37)*1000</f>
        <v>109000</v>
      </c>
      <c r="BC9" s="652">
        <f>([12]segmenty!$E$76)*1000</f>
        <v>75000</v>
      </c>
      <c r="BD9" s="650"/>
      <c r="BE9" s="652">
        <f t="shared" si="13"/>
        <v>39000</v>
      </c>
      <c r="BF9" s="652">
        <f t="shared" si="13"/>
        <v>19000</v>
      </c>
      <c r="BG9" s="650"/>
      <c r="BH9" s="600">
        <f>([13]segmenty!$E$37)*1000</f>
        <v>70000</v>
      </c>
      <c r="BI9" s="600">
        <f>([13]segmenty!$E$76)*1000</f>
        <v>56000</v>
      </c>
      <c r="BJ9" s="613"/>
      <c r="BK9" s="600">
        <f>('[13]segmenty 3 m-ce PREZ'!$E$25)*1000</f>
        <v>24000</v>
      </c>
      <c r="BL9" s="600">
        <f>('[13]segmenty 3 m-ce PREZ'!$E$55)*1000</f>
        <v>20000</v>
      </c>
      <c r="BM9" s="613"/>
      <c r="BN9" s="600">
        <f>[14]segmenty!$E$37*1000</f>
        <v>46000</v>
      </c>
      <c r="BO9" s="600">
        <f>[14]segmenty!$E$75*1000</f>
        <v>36000</v>
      </c>
      <c r="BP9" s="613"/>
      <c r="BQ9" s="600">
        <f>('[14]segmenty 3 m-ce PREZ'!$E$25)*1000</f>
        <v>22000</v>
      </c>
      <c r="BR9" s="600">
        <f>('[14]segmenty 3 m-ce PREZ'!$E$54)*1000</f>
        <v>22000</v>
      </c>
      <c r="BS9" s="613"/>
      <c r="BT9" s="600">
        <f t="shared" si="14"/>
        <v>19000</v>
      </c>
      <c r="BU9" s="615">
        <f t="shared" si="14"/>
        <v>33000</v>
      </c>
      <c r="BV9" s="613"/>
      <c r="BW9" s="600">
        <v>75000</v>
      </c>
      <c r="BX9" s="600">
        <v>82000</v>
      </c>
      <c r="BY9" s="613"/>
      <c r="BZ9" s="334">
        <v>20000</v>
      </c>
      <c r="CA9" s="143">
        <v>22000</v>
      </c>
      <c r="CB9" s="65"/>
      <c r="CC9" s="334">
        <v>56000</v>
      </c>
      <c r="CD9" s="143">
        <v>49000</v>
      </c>
      <c r="CE9" s="65"/>
      <c r="CF9" s="334">
        <f t="shared" si="0"/>
        <v>22000</v>
      </c>
      <c r="CG9" s="143">
        <f t="shared" si="0"/>
        <v>12000</v>
      </c>
      <c r="CH9" s="65"/>
      <c r="CI9" s="334">
        <v>36000</v>
      </c>
      <c r="CJ9" s="143">
        <v>27000</v>
      </c>
      <c r="CK9" s="65"/>
      <c r="CL9" s="334">
        <v>14000</v>
      </c>
      <c r="CM9" s="143">
        <v>15000</v>
      </c>
      <c r="CN9" s="162"/>
      <c r="CO9" s="334">
        <f t="shared" si="1"/>
        <v>32686</v>
      </c>
      <c r="CP9" s="143">
        <f t="shared" si="2"/>
        <v>29751</v>
      </c>
      <c r="CQ9" s="162"/>
      <c r="CR9" s="334">
        <v>82000</v>
      </c>
      <c r="CS9" s="143">
        <v>61000</v>
      </c>
      <c r="CT9" s="162"/>
      <c r="CU9" s="334">
        <f t="shared" si="3"/>
        <v>21859</v>
      </c>
      <c r="CV9" s="143">
        <f t="shared" si="3"/>
        <v>9866</v>
      </c>
      <c r="CW9" s="162"/>
      <c r="CX9" s="334">
        <v>49314</v>
      </c>
      <c r="CY9" s="143">
        <v>31249</v>
      </c>
      <c r="CZ9" s="162"/>
      <c r="DA9" s="334">
        <f t="shared" si="4"/>
        <v>12216</v>
      </c>
      <c r="DB9" s="143">
        <f t="shared" si="4"/>
        <v>9927</v>
      </c>
      <c r="DC9" s="162"/>
      <c r="DD9" s="334">
        <v>27455</v>
      </c>
      <c r="DE9" s="143">
        <v>21383</v>
      </c>
      <c r="DF9" s="162"/>
      <c r="DG9" s="334">
        <v>15239</v>
      </c>
      <c r="DH9" s="143">
        <v>11456</v>
      </c>
      <c r="DI9" s="162"/>
      <c r="DJ9" s="334">
        <f t="shared" si="5"/>
        <v>30082</v>
      </c>
      <c r="DK9" s="143">
        <f t="shared" si="6"/>
        <v>26823</v>
      </c>
      <c r="DL9" s="162"/>
      <c r="DM9" s="334">
        <v>61331</v>
      </c>
      <c r="DN9" s="334">
        <v>47460</v>
      </c>
      <c r="DO9" s="162"/>
      <c r="DP9" s="334">
        <f t="shared" si="7"/>
        <v>9866</v>
      </c>
      <c r="DQ9" s="143">
        <f t="shared" si="7"/>
        <v>10387</v>
      </c>
      <c r="DR9" s="162"/>
      <c r="DS9" s="334">
        <v>31249</v>
      </c>
      <c r="DT9" s="334">
        <v>20637</v>
      </c>
      <c r="DU9" s="162"/>
      <c r="DV9" s="334">
        <f t="shared" si="8"/>
        <v>9927</v>
      </c>
      <c r="DW9" s="143">
        <f t="shared" si="9"/>
        <v>5855</v>
      </c>
      <c r="DX9" s="162"/>
      <c r="DY9" s="334">
        <v>21383</v>
      </c>
      <c r="DZ9" s="143">
        <v>10250</v>
      </c>
      <c r="EA9" s="162"/>
      <c r="EB9" s="334">
        <v>11456</v>
      </c>
      <c r="EC9" s="143">
        <v>4395</v>
      </c>
      <c r="ED9" s="162"/>
      <c r="EE9" s="339">
        <v>47460</v>
      </c>
      <c r="EF9" s="143">
        <v>36947</v>
      </c>
      <c r="EG9" s="364"/>
      <c r="EH9" s="339">
        <v>26823</v>
      </c>
      <c r="EI9" s="143">
        <v>8682</v>
      </c>
      <c r="EJ9" s="364"/>
      <c r="EK9" s="339">
        <v>20637</v>
      </c>
      <c r="EL9" s="143">
        <v>28265</v>
      </c>
      <c r="EM9" s="364"/>
      <c r="EN9" s="339">
        <v>10387</v>
      </c>
      <c r="EO9" s="143">
        <v>3645</v>
      </c>
      <c r="EP9" s="364"/>
      <c r="EQ9" s="364"/>
      <c r="ER9" s="339">
        <v>10250</v>
      </c>
      <c r="ES9" s="143">
        <v>24620</v>
      </c>
      <c r="ET9" s="364"/>
      <c r="EU9" s="339">
        <v>5855</v>
      </c>
      <c r="EV9" s="143">
        <v>20115</v>
      </c>
      <c r="EW9" s="364"/>
      <c r="EX9" s="339">
        <v>4395</v>
      </c>
      <c r="EY9" s="143">
        <v>4505</v>
      </c>
      <c r="EZ9" s="364"/>
      <c r="FA9" s="339">
        <v>7425</v>
      </c>
      <c r="FB9" s="143">
        <v>751</v>
      </c>
      <c r="FC9" s="364"/>
      <c r="FD9" s="339">
        <f t="shared" si="10"/>
        <v>1410</v>
      </c>
      <c r="FE9" s="143">
        <f t="shared" si="10"/>
        <v>163</v>
      </c>
      <c r="FF9" s="364"/>
      <c r="FG9" s="339">
        <v>6015</v>
      </c>
      <c r="FH9" s="143">
        <v>588</v>
      </c>
      <c r="FI9" s="364"/>
      <c r="FJ9" s="339">
        <v>1713</v>
      </c>
      <c r="FK9" s="143">
        <v>6</v>
      </c>
      <c r="FL9" s="364"/>
      <c r="FM9" s="339">
        <v>4302</v>
      </c>
      <c r="FN9" s="143">
        <v>582</v>
      </c>
      <c r="FO9" s="364"/>
      <c r="FP9" s="339">
        <v>4133</v>
      </c>
      <c r="FQ9" s="143">
        <v>333</v>
      </c>
      <c r="FR9" s="364"/>
      <c r="FS9" s="339">
        <v>169</v>
      </c>
      <c r="FT9" s="143">
        <v>249</v>
      </c>
      <c r="FU9" s="364"/>
      <c r="FV9" s="339">
        <v>751</v>
      </c>
      <c r="FW9" s="143">
        <v>1452</v>
      </c>
      <c r="FX9" s="364"/>
      <c r="FY9" s="339">
        <v>163</v>
      </c>
      <c r="FZ9" s="143">
        <v>288</v>
      </c>
      <c r="GA9" s="364"/>
      <c r="GB9" s="339">
        <v>588</v>
      </c>
      <c r="GC9" s="143">
        <v>1164</v>
      </c>
      <c r="GD9" s="364"/>
      <c r="GE9" s="339">
        <v>6</v>
      </c>
      <c r="GF9" s="143">
        <v>407</v>
      </c>
      <c r="GG9" s="364"/>
      <c r="GH9" s="339">
        <v>582</v>
      </c>
      <c r="GI9" s="143">
        <v>757</v>
      </c>
      <c r="GJ9" s="162"/>
      <c r="GK9" s="165">
        <v>333</v>
      </c>
      <c r="GL9" s="155">
        <v>78</v>
      </c>
      <c r="GM9" s="162"/>
      <c r="GN9" s="165">
        <v>249</v>
      </c>
      <c r="GO9" s="155">
        <v>679</v>
      </c>
      <c r="GP9" s="162"/>
      <c r="GQ9" s="165">
        <v>1452</v>
      </c>
      <c r="GR9" s="155">
        <v>4604</v>
      </c>
      <c r="GS9" s="162"/>
      <c r="GT9" s="165">
        <v>288</v>
      </c>
      <c r="GU9" s="155">
        <v>1407</v>
      </c>
      <c r="GV9" s="162"/>
      <c r="GW9" s="165">
        <v>1164</v>
      </c>
      <c r="GX9" s="155">
        <v>3197</v>
      </c>
      <c r="GY9" s="162"/>
      <c r="GZ9" s="165">
        <v>407</v>
      </c>
      <c r="HA9" s="155">
        <v>666</v>
      </c>
      <c r="HB9" s="162"/>
      <c r="HC9" s="165">
        <v>757</v>
      </c>
      <c r="HD9" s="155">
        <v>2531</v>
      </c>
      <c r="HE9" s="162"/>
      <c r="HF9" s="165">
        <v>78</v>
      </c>
      <c r="HG9" s="155">
        <v>893</v>
      </c>
      <c r="HH9" s="162"/>
      <c r="HI9" s="165">
        <v>679</v>
      </c>
      <c r="HJ9" s="155">
        <v>1638</v>
      </c>
      <c r="HK9" s="162"/>
      <c r="HL9" s="165">
        <v>4604</v>
      </c>
      <c r="HM9" s="155">
        <v>5928</v>
      </c>
      <c r="HN9" s="162"/>
      <c r="HO9" s="165">
        <v>1407</v>
      </c>
      <c r="HP9" s="155">
        <v>3719</v>
      </c>
      <c r="HQ9" s="162"/>
      <c r="HR9" s="155">
        <v>3197</v>
      </c>
      <c r="HS9" s="155">
        <v>2209</v>
      </c>
      <c r="HT9" s="156"/>
      <c r="HU9" s="155">
        <v>666</v>
      </c>
      <c r="HV9" s="155">
        <v>1408</v>
      </c>
      <c r="HW9" s="156"/>
      <c r="HX9" s="155">
        <v>2531</v>
      </c>
      <c r="HY9" s="155">
        <v>801</v>
      </c>
      <c r="HZ9" s="156"/>
      <c r="IA9" s="155">
        <v>893</v>
      </c>
      <c r="IB9" s="155">
        <v>689</v>
      </c>
      <c r="IC9" s="156"/>
      <c r="ID9" s="155">
        <v>1638</v>
      </c>
      <c r="IE9" s="155">
        <v>112</v>
      </c>
      <c r="IF9" s="156"/>
      <c r="IG9" s="167" t="s">
        <v>23</v>
      </c>
      <c r="IH9" s="155">
        <v>335575</v>
      </c>
      <c r="II9" s="155">
        <v>202252</v>
      </c>
      <c r="IJ9" s="156"/>
      <c r="IK9" s="155">
        <v>225479</v>
      </c>
      <c r="IL9" s="155">
        <v>116342</v>
      </c>
      <c r="IM9" s="156"/>
      <c r="IN9" s="155">
        <v>98395</v>
      </c>
      <c r="IO9" s="155">
        <v>50183</v>
      </c>
      <c r="IP9" s="156"/>
      <c r="IQ9" s="166">
        <v>202252</v>
      </c>
      <c r="IR9" s="166">
        <v>221763</v>
      </c>
      <c r="IS9" s="156"/>
      <c r="IT9" s="156"/>
      <c r="IU9" s="156"/>
      <c r="IV9" s="156"/>
      <c r="IW9" s="156"/>
      <c r="IX9" s="156"/>
      <c r="IY9" s="156"/>
      <c r="IZ9" s="156"/>
      <c r="JA9" s="156"/>
      <c r="JB9" s="156"/>
      <c r="JC9" s="156"/>
      <c r="JD9" s="156"/>
      <c r="JE9" s="156"/>
      <c r="JF9" s="156"/>
      <c r="JG9" s="156"/>
      <c r="JH9" s="156"/>
      <c r="JI9" s="156"/>
      <c r="JJ9" s="156"/>
      <c r="JK9" s="156"/>
      <c r="JL9" s="156"/>
      <c r="JM9" s="156"/>
      <c r="JN9" s="156"/>
      <c r="JO9" s="156"/>
      <c r="JP9" s="156"/>
      <c r="JQ9" s="156"/>
      <c r="JR9" s="156"/>
      <c r="JS9" s="156"/>
      <c r="JT9" s="156"/>
      <c r="JU9" s="156"/>
      <c r="JV9" s="156"/>
      <c r="JW9" s="156"/>
      <c r="JX9" s="156"/>
      <c r="JY9" s="156"/>
      <c r="JZ9" s="156"/>
      <c r="KA9" s="156"/>
      <c r="KB9" s="156"/>
      <c r="KC9" s="156"/>
      <c r="KD9" s="156"/>
      <c r="KE9" s="156"/>
      <c r="KF9" s="156"/>
      <c r="KG9" s="156"/>
      <c r="KH9" s="156"/>
      <c r="KI9" s="156"/>
      <c r="KJ9" s="156"/>
      <c r="KK9" s="156"/>
      <c r="KL9" s="156"/>
      <c r="KM9" s="156"/>
      <c r="KN9" s="156"/>
      <c r="KO9" s="156"/>
      <c r="KP9" s="156"/>
      <c r="KQ9" s="156"/>
      <c r="KR9" s="156"/>
      <c r="KS9" s="156"/>
      <c r="KT9" s="156"/>
      <c r="KU9" s="156"/>
      <c r="KV9" s="156"/>
      <c r="KW9" s="156"/>
      <c r="KX9" s="156"/>
      <c r="KY9" s="156"/>
      <c r="KZ9" s="156"/>
      <c r="LA9" s="156"/>
      <c r="LB9" s="156"/>
      <c r="LC9" s="156"/>
      <c r="LD9" s="156"/>
      <c r="LE9" s="156"/>
      <c r="LF9" s="156"/>
      <c r="LG9" s="156"/>
      <c r="LH9" s="156"/>
      <c r="LI9" s="156"/>
      <c r="LJ9" s="156"/>
      <c r="LK9" s="156"/>
      <c r="LL9" s="156"/>
      <c r="LM9" s="156"/>
      <c r="LN9" s="156"/>
      <c r="LO9" s="156"/>
      <c r="LP9" s="156"/>
      <c r="LQ9" s="156"/>
      <c r="LR9" s="156"/>
      <c r="LS9" s="156"/>
      <c r="LT9" s="156"/>
      <c r="LU9" s="156"/>
      <c r="LV9" s="156"/>
    </row>
    <row r="10" spans="1:334">
      <c r="A10" s="65" t="s">
        <v>78</v>
      </c>
      <c r="B10" s="65"/>
      <c r="C10" s="756">
        <f>'[3]segmenty prez'!$G$38*1000</f>
        <v>210000</v>
      </c>
      <c r="D10" s="782">
        <f>'[3]segmenty prez'!$G$77*1000</f>
        <v>143000</v>
      </c>
      <c r="E10" s="780"/>
      <c r="F10" s="756">
        <f>'[3]segmenty 3 m-ce PREZ'!$G$28*1000</f>
        <v>135000</v>
      </c>
      <c r="G10" s="756">
        <f>'[3]segmenty 3 m-ce PREZ'!$G$60*1000</f>
        <v>77000</v>
      </c>
      <c r="H10" s="780"/>
      <c r="I10" s="709">
        <f>('[4]segmenty prez'!$G$38)*1000</f>
        <v>75000</v>
      </c>
      <c r="J10" s="709">
        <f>('[4]segmenty prez'!$G$77)*1000</f>
        <v>66000</v>
      </c>
      <c r="K10" s="65"/>
      <c r="L10" s="709">
        <f>[5]segmenty!$G$39*1000</f>
        <v>414000</v>
      </c>
      <c r="M10" s="712">
        <f>[5]segmenty!$G$79*1000</f>
        <v>256000</v>
      </c>
      <c r="N10" s="65"/>
      <c r="O10" s="708">
        <f t="shared" si="11"/>
        <v>169000</v>
      </c>
      <c r="P10" s="711">
        <f t="shared" si="11"/>
        <v>78000</v>
      </c>
      <c r="Q10" s="65"/>
      <c r="R10" s="709">
        <f>'[19]segmenty prez'!$G$35*1000</f>
        <v>245000</v>
      </c>
      <c r="S10" s="712">
        <f>'[19]segmenty prez'!$G$71*1000</f>
        <v>178000</v>
      </c>
      <c r="T10" s="65"/>
      <c r="U10" s="709">
        <f>('[6]segmenty 3 m-ce PREZ'!$G$25)*1000</f>
        <v>102000</v>
      </c>
      <c r="V10" s="712">
        <f>('[6]segmenty 3 m-ce PREZ'!$G$54)*1000</f>
        <v>46000</v>
      </c>
      <c r="W10" s="65"/>
      <c r="X10" s="709">
        <f>'[7]segmenty prez'!$G$35*1000</f>
        <v>143000</v>
      </c>
      <c r="Y10" s="712">
        <f>'[7]segmenty prez'!$G$71*1000</f>
        <v>132000</v>
      </c>
      <c r="Z10" s="650"/>
      <c r="AA10" s="652">
        <f>'[7]segmenty 3 m-ce PREZ'!$G$25*1000</f>
        <v>77000</v>
      </c>
      <c r="AB10" s="652">
        <f>'[7]segmenty 3 m-ce PREZ'!$G$54*1000</f>
        <v>87000</v>
      </c>
      <c r="AC10" s="650"/>
      <c r="AD10" s="652">
        <f>('[8]segmenty prez'!$G$35)*1000</f>
        <v>66000</v>
      </c>
      <c r="AE10" s="652">
        <f>('[8]segmenty prez'!$G$71)*1000</f>
        <v>45000</v>
      </c>
      <c r="AF10" s="650"/>
      <c r="AG10" s="652">
        <f>[9]segmenty!$G$37*1000</f>
        <v>186000</v>
      </c>
      <c r="AH10" s="652">
        <f>[9]segmenty!$G$75*1000</f>
        <v>325000</v>
      </c>
      <c r="AI10" s="650"/>
      <c r="AJ10" s="651">
        <f t="shared" si="12"/>
        <v>51000</v>
      </c>
      <c r="AK10" s="651">
        <f t="shared" si="12"/>
        <v>183000</v>
      </c>
      <c r="AL10" s="650"/>
      <c r="AM10" s="652">
        <f>('[10]segmenty prez'!$G$35)*1000</f>
        <v>135000</v>
      </c>
      <c r="AN10" s="652">
        <f>('[10]segmenty prez'!$G$71)*1000</f>
        <v>142000</v>
      </c>
      <c r="AO10" s="650"/>
      <c r="AP10" s="652" t="e">
        <f>(#REF!)*1000</f>
        <v>#REF!</v>
      </c>
      <c r="AQ10" s="652" t="e">
        <f>(#REF!)*1000</f>
        <v>#REF!</v>
      </c>
      <c r="AR10" s="65"/>
      <c r="AS10" s="652">
        <v>103000</v>
      </c>
      <c r="AT10" s="652">
        <v>94000</v>
      </c>
      <c r="AU10" s="650"/>
      <c r="AV10" s="652">
        <v>70000</v>
      </c>
      <c r="AW10" s="652">
        <v>62000</v>
      </c>
      <c r="AX10" s="650"/>
      <c r="AY10" s="652">
        <f>[11]segmenty!$F$37*1000</f>
        <v>32000</v>
      </c>
      <c r="AZ10" s="652">
        <f>[11]segmenty!$F$75*1000</f>
        <v>33000</v>
      </c>
      <c r="BA10" s="650"/>
      <c r="BB10" s="652">
        <f>([12]segmenty!$F$37)*1000</f>
        <v>332000</v>
      </c>
      <c r="BC10" s="652">
        <f>([12]segmenty!$F$76)*1000</f>
        <v>391000</v>
      </c>
      <c r="BD10" s="650"/>
      <c r="BE10" s="652">
        <f t="shared" si="13"/>
        <v>189000</v>
      </c>
      <c r="BF10" s="652">
        <f t="shared" si="13"/>
        <v>159000</v>
      </c>
      <c r="BG10" s="650"/>
      <c r="BH10" s="600">
        <f>([13]segmenty!$F$37)*1000</f>
        <v>143000</v>
      </c>
      <c r="BI10" s="600">
        <f>([13]segmenty!$F$76)*1000</f>
        <v>232000</v>
      </c>
      <c r="BJ10" s="613"/>
      <c r="BK10" s="600">
        <f>('[13]segmenty 3 m-ce PREZ'!$F$25)*1000</f>
        <v>49000</v>
      </c>
      <c r="BL10" s="600">
        <f>('[13]segmenty 3 m-ce PREZ'!$F$55)*1000</f>
        <v>42000</v>
      </c>
      <c r="BM10" s="613"/>
      <c r="BN10" s="600">
        <f>[14]segmenty!$F$37*1000</f>
        <v>94000</v>
      </c>
      <c r="BO10" s="600">
        <f>[14]segmenty!$F$75*1000</f>
        <v>190000</v>
      </c>
      <c r="BP10" s="613"/>
      <c r="BQ10" s="600">
        <f>('[14]segmenty 3 m-ce PREZ'!$F$25)*1000</f>
        <v>61000</v>
      </c>
      <c r="BR10" s="600">
        <f>('[14]segmenty 3 m-ce PREZ'!$F$54)*1000</f>
        <v>154000</v>
      </c>
      <c r="BS10" s="613"/>
      <c r="BT10" s="600">
        <f t="shared" si="14"/>
        <v>159000</v>
      </c>
      <c r="BU10" s="615">
        <f t="shared" si="14"/>
        <v>83000</v>
      </c>
      <c r="BV10" s="613"/>
      <c r="BW10" s="600">
        <v>391000</v>
      </c>
      <c r="BX10" s="600">
        <v>200000</v>
      </c>
      <c r="BY10" s="613"/>
      <c r="BZ10" s="334">
        <v>42000</v>
      </c>
      <c r="CA10" s="143">
        <v>36000</v>
      </c>
      <c r="CB10" s="65"/>
      <c r="CC10" s="334">
        <v>232000</v>
      </c>
      <c r="CD10" s="143">
        <v>117000</v>
      </c>
      <c r="CE10" s="65"/>
      <c r="CF10" s="334">
        <f t="shared" si="0"/>
        <v>154000</v>
      </c>
      <c r="CG10" s="143">
        <f t="shared" si="0"/>
        <v>45000</v>
      </c>
      <c r="CH10" s="65"/>
      <c r="CI10" s="334">
        <v>190000</v>
      </c>
      <c r="CJ10" s="143">
        <v>81000</v>
      </c>
      <c r="CK10" s="65"/>
      <c r="CL10" s="334">
        <v>36000</v>
      </c>
      <c r="CM10" s="143">
        <v>36000</v>
      </c>
      <c r="CN10" s="162"/>
      <c r="CO10" s="334">
        <f t="shared" si="1"/>
        <v>81240</v>
      </c>
      <c r="CP10" s="143">
        <f t="shared" si="2"/>
        <v>123672</v>
      </c>
      <c r="CQ10" s="162"/>
      <c r="CR10" s="334">
        <v>200000</v>
      </c>
      <c r="CS10" s="143">
        <v>248000</v>
      </c>
      <c r="CT10" s="162"/>
      <c r="CU10" s="334">
        <f t="shared" si="3"/>
        <v>36345</v>
      </c>
      <c r="CV10" s="143">
        <f t="shared" si="3"/>
        <v>58542</v>
      </c>
      <c r="CW10" s="162"/>
      <c r="CX10" s="334">
        <v>118760</v>
      </c>
      <c r="CY10" s="143">
        <v>124328</v>
      </c>
      <c r="CZ10" s="162"/>
      <c r="DA10" s="334">
        <f t="shared" si="4"/>
        <v>46056</v>
      </c>
      <c r="DB10" s="143">
        <f t="shared" si="4"/>
        <v>40613</v>
      </c>
      <c r="DC10" s="162"/>
      <c r="DD10" s="334">
        <v>82415</v>
      </c>
      <c r="DE10" s="143">
        <v>65786</v>
      </c>
      <c r="DF10" s="162"/>
      <c r="DG10" s="334">
        <v>36359</v>
      </c>
      <c r="DH10" s="143">
        <v>25173</v>
      </c>
      <c r="DI10" s="162"/>
      <c r="DJ10" s="334">
        <f t="shared" si="5"/>
        <v>124157</v>
      </c>
      <c r="DK10" s="143">
        <f t="shared" si="6"/>
        <v>84387</v>
      </c>
      <c r="DL10" s="162"/>
      <c r="DM10" s="334">
        <v>248485</v>
      </c>
      <c r="DN10" s="334">
        <v>132901</v>
      </c>
      <c r="DO10" s="162"/>
      <c r="DP10" s="334">
        <f t="shared" si="7"/>
        <v>58542</v>
      </c>
      <c r="DQ10" s="143">
        <f t="shared" si="7"/>
        <v>16687</v>
      </c>
      <c r="DR10" s="162"/>
      <c r="DS10" s="334">
        <v>124328</v>
      </c>
      <c r="DT10" s="334">
        <v>48514</v>
      </c>
      <c r="DU10" s="162"/>
      <c r="DV10" s="334">
        <f t="shared" si="8"/>
        <v>40613</v>
      </c>
      <c r="DW10" s="143">
        <f t="shared" si="9"/>
        <v>15237</v>
      </c>
      <c r="DX10" s="162"/>
      <c r="DY10" s="334">
        <v>65786</v>
      </c>
      <c r="DZ10" s="143">
        <v>31827</v>
      </c>
      <c r="EA10" s="162"/>
      <c r="EB10" s="334">
        <v>25173</v>
      </c>
      <c r="EC10" s="143">
        <v>16590</v>
      </c>
      <c r="ED10" s="162"/>
      <c r="EE10" s="339">
        <v>132901</v>
      </c>
      <c r="EF10" s="143">
        <v>74561</v>
      </c>
      <c r="EG10" s="364"/>
      <c r="EH10" s="339">
        <v>84387</v>
      </c>
      <c r="EI10" s="143">
        <v>34802</v>
      </c>
      <c r="EJ10" s="364"/>
      <c r="EK10" s="339">
        <v>48514</v>
      </c>
      <c r="EL10" s="143">
        <v>39759</v>
      </c>
      <c r="EM10" s="364"/>
      <c r="EN10" s="339">
        <v>16687</v>
      </c>
      <c r="EO10" s="143">
        <v>17573</v>
      </c>
      <c r="EP10" s="364"/>
      <c r="EQ10" s="364"/>
      <c r="ER10" s="339">
        <v>31827</v>
      </c>
      <c r="ES10" s="143">
        <v>22186</v>
      </c>
      <c r="ET10" s="364"/>
      <c r="EU10" s="339">
        <v>15237</v>
      </c>
      <c r="EV10" s="143">
        <v>9429</v>
      </c>
      <c r="EW10" s="364"/>
      <c r="EX10" s="339">
        <v>16590</v>
      </c>
      <c r="EY10" s="143">
        <v>12757</v>
      </c>
      <c r="EZ10" s="364"/>
      <c r="FA10" s="339">
        <v>73241</v>
      </c>
      <c r="FB10" s="143">
        <v>97911</v>
      </c>
      <c r="FC10" s="364"/>
      <c r="FD10" s="339">
        <f t="shared" si="10"/>
        <v>33482</v>
      </c>
      <c r="FE10" s="143">
        <f t="shared" si="10"/>
        <v>65281</v>
      </c>
      <c r="FF10" s="364"/>
      <c r="FG10" s="339">
        <v>39759</v>
      </c>
      <c r="FH10" s="143">
        <v>32630</v>
      </c>
      <c r="FI10" s="364"/>
      <c r="FJ10" s="339">
        <v>17573</v>
      </c>
      <c r="FK10" s="143">
        <v>12389</v>
      </c>
      <c r="FL10" s="364"/>
      <c r="FM10" s="339">
        <v>22186</v>
      </c>
      <c r="FN10" s="143">
        <v>20241</v>
      </c>
      <c r="FO10" s="364"/>
      <c r="FP10" s="339">
        <v>9429</v>
      </c>
      <c r="FQ10" s="143">
        <v>10403</v>
      </c>
      <c r="FR10" s="364"/>
      <c r="FS10" s="339">
        <v>12757</v>
      </c>
      <c r="FT10" s="143">
        <v>9838</v>
      </c>
      <c r="FU10" s="364"/>
      <c r="FV10" s="339">
        <v>97911</v>
      </c>
      <c r="FW10" s="143">
        <v>64921</v>
      </c>
      <c r="FX10" s="364"/>
      <c r="FY10" s="339">
        <v>65281</v>
      </c>
      <c r="FZ10" s="143">
        <v>30284</v>
      </c>
      <c r="GA10" s="364"/>
      <c r="GB10" s="339">
        <v>32630</v>
      </c>
      <c r="GC10" s="143">
        <v>34637</v>
      </c>
      <c r="GD10" s="364"/>
      <c r="GE10" s="339">
        <v>12389</v>
      </c>
      <c r="GF10" s="143">
        <v>18077</v>
      </c>
      <c r="GG10" s="364"/>
      <c r="GH10" s="339">
        <v>20241</v>
      </c>
      <c r="GI10" s="143">
        <v>16560</v>
      </c>
      <c r="GJ10" s="162"/>
      <c r="GK10" s="165">
        <v>10403</v>
      </c>
      <c r="GL10" s="155">
        <v>11182</v>
      </c>
      <c r="GM10" s="162"/>
      <c r="GN10" s="165">
        <v>9838</v>
      </c>
      <c r="GO10" s="155">
        <v>5378</v>
      </c>
      <c r="GP10" s="162"/>
      <c r="GQ10" s="165">
        <v>64921</v>
      </c>
      <c r="GR10" s="155">
        <v>100293</v>
      </c>
      <c r="GS10" s="162"/>
      <c r="GT10" s="165">
        <v>30284</v>
      </c>
      <c r="GU10" s="155">
        <v>44365</v>
      </c>
      <c r="GV10" s="162"/>
      <c r="GW10" s="165">
        <v>34637</v>
      </c>
      <c r="GX10" s="155">
        <v>55928</v>
      </c>
      <c r="GY10" s="162"/>
      <c r="GZ10" s="165">
        <v>18077</v>
      </c>
      <c r="HA10" s="155">
        <v>15792</v>
      </c>
      <c r="HB10" s="162"/>
      <c r="HC10" s="165">
        <v>16560</v>
      </c>
      <c r="HD10" s="155">
        <v>40136</v>
      </c>
      <c r="HE10" s="162"/>
      <c r="HF10" s="165">
        <v>11182</v>
      </c>
      <c r="HG10" s="155">
        <v>18900</v>
      </c>
      <c r="HH10" s="162"/>
      <c r="HI10" s="165">
        <v>5378</v>
      </c>
      <c r="HJ10" s="155">
        <v>21236</v>
      </c>
      <c r="HK10" s="162"/>
      <c r="HL10" s="165">
        <v>100293</v>
      </c>
      <c r="HM10" s="155">
        <v>104957</v>
      </c>
      <c r="HN10" s="162"/>
      <c r="HO10" s="165">
        <v>44365</v>
      </c>
      <c r="HP10" s="155">
        <v>48013</v>
      </c>
      <c r="HQ10" s="162"/>
      <c r="HR10" s="155">
        <v>55928</v>
      </c>
      <c r="HS10" s="155">
        <v>56944</v>
      </c>
      <c r="HT10" s="156"/>
      <c r="HU10" s="155">
        <v>15792</v>
      </c>
      <c r="HV10" s="155">
        <v>13727</v>
      </c>
      <c r="HW10" s="156"/>
      <c r="HX10" s="155">
        <v>40136</v>
      </c>
      <c r="HY10" s="155">
        <v>43217</v>
      </c>
      <c r="HZ10" s="156"/>
      <c r="IA10" s="155">
        <v>18900</v>
      </c>
      <c r="IB10" s="155">
        <v>29215</v>
      </c>
      <c r="IC10" s="156"/>
      <c r="ID10" s="155">
        <v>21236</v>
      </c>
      <c r="IE10" s="155">
        <v>14002</v>
      </c>
      <c r="IF10" s="156"/>
      <c r="IG10" s="162" t="s">
        <v>20</v>
      </c>
      <c r="IH10" s="155">
        <v>1934781</v>
      </c>
      <c r="II10" s="155">
        <v>2080675</v>
      </c>
      <c r="IJ10" s="156"/>
      <c r="IK10" s="155">
        <v>1285823</v>
      </c>
      <c r="IL10" s="155">
        <v>1191798</v>
      </c>
      <c r="IM10" s="156"/>
      <c r="IN10" s="155">
        <v>841488</v>
      </c>
      <c r="IO10" s="155">
        <v>633812</v>
      </c>
      <c r="IP10" s="156"/>
      <c r="IQ10" s="166">
        <v>2080675</v>
      </c>
      <c r="IR10" s="166">
        <v>1785779</v>
      </c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  <c r="JD10" s="156"/>
      <c r="JE10" s="156"/>
      <c r="JF10" s="156"/>
      <c r="JG10" s="156"/>
      <c r="JH10" s="156"/>
      <c r="JI10" s="156"/>
      <c r="JJ10" s="156"/>
      <c r="JK10" s="156"/>
      <c r="JL10" s="156"/>
      <c r="JM10" s="156"/>
      <c r="JN10" s="156"/>
      <c r="JO10" s="156"/>
      <c r="JP10" s="156"/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156"/>
      <c r="KI10" s="156"/>
      <c r="KJ10" s="156"/>
      <c r="KK10" s="156"/>
      <c r="KL10" s="156"/>
      <c r="KM10" s="156"/>
      <c r="KN10" s="156"/>
      <c r="KO10" s="156"/>
      <c r="KP10" s="156"/>
      <c r="KQ10" s="156"/>
      <c r="KR10" s="156"/>
      <c r="KS10" s="156"/>
      <c r="KT10" s="156"/>
      <c r="KU10" s="156"/>
      <c r="KV10" s="156"/>
      <c r="KW10" s="156"/>
      <c r="KX10" s="156"/>
      <c r="KY10" s="156"/>
      <c r="KZ10" s="156"/>
      <c r="LA10" s="156"/>
      <c r="LB10" s="156"/>
      <c r="LC10" s="156"/>
      <c r="LD10" s="156"/>
      <c r="LE10" s="156"/>
      <c r="LF10" s="156"/>
      <c r="LG10" s="156"/>
      <c r="LH10" s="156"/>
      <c r="LI10" s="156"/>
      <c r="LJ10" s="156"/>
      <c r="LK10" s="156"/>
      <c r="LL10" s="156"/>
      <c r="LM10" s="156"/>
      <c r="LN10" s="156"/>
      <c r="LO10" s="156"/>
      <c r="LP10" s="156"/>
      <c r="LQ10" s="156"/>
      <c r="LR10" s="156"/>
      <c r="LS10" s="156"/>
      <c r="LT10" s="156"/>
      <c r="LU10" s="156"/>
      <c r="LV10" s="156"/>
    </row>
    <row r="11" spans="1:334">
      <c r="A11" s="26" t="s">
        <v>949</v>
      </c>
      <c r="B11" s="65"/>
      <c r="C11" s="783"/>
      <c r="D11" s="784"/>
      <c r="E11" s="780"/>
      <c r="F11" s="783"/>
      <c r="G11" s="783"/>
      <c r="H11" s="780"/>
      <c r="I11" s="710"/>
      <c r="J11" s="713"/>
      <c r="K11" s="707"/>
      <c r="L11" s="710"/>
      <c r="M11" s="713"/>
      <c r="N11" s="707"/>
      <c r="O11" s="710"/>
      <c r="P11" s="713"/>
      <c r="Q11" s="65"/>
      <c r="R11" s="710"/>
      <c r="S11" s="713"/>
      <c r="T11" s="65"/>
      <c r="U11" s="710"/>
      <c r="V11" s="713"/>
      <c r="W11" s="65"/>
      <c r="X11" s="710"/>
      <c r="Y11" s="713"/>
      <c r="Z11" s="650"/>
      <c r="AA11" s="653"/>
      <c r="AB11" s="653"/>
      <c r="AC11" s="650"/>
      <c r="AD11" s="653"/>
      <c r="AE11" s="653"/>
      <c r="AF11" s="650"/>
      <c r="AG11" s="653"/>
      <c r="AH11" s="653"/>
      <c r="AI11" s="650"/>
      <c r="AJ11" s="653"/>
      <c r="AK11" s="653"/>
      <c r="AL11" s="650"/>
      <c r="AM11" s="653"/>
      <c r="AN11" s="653"/>
      <c r="AO11" s="650"/>
      <c r="AP11" s="653"/>
      <c r="AQ11" s="653"/>
      <c r="AR11" s="65"/>
      <c r="AS11" s="653"/>
      <c r="AT11" s="653"/>
      <c r="AU11" s="650"/>
      <c r="AV11" s="653"/>
      <c r="AW11" s="653"/>
      <c r="AX11" s="650"/>
      <c r="AY11" s="653"/>
      <c r="AZ11" s="653"/>
      <c r="BA11" s="650"/>
      <c r="BB11" s="653"/>
      <c r="BC11" s="653">
        <f>([12]segmenty!$I$76)*1000</f>
        <v>517000</v>
      </c>
      <c r="BD11" s="650"/>
      <c r="BE11" s="653"/>
      <c r="BF11" s="653">
        <f>BC11-BI11</f>
        <v>206000</v>
      </c>
      <c r="BG11" s="650"/>
      <c r="BH11" s="616"/>
      <c r="BI11" s="616">
        <f>([13]segmenty!$I$76)*1000</f>
        <v>311000</v>
      </c>
      <c r="BJ11" s="613"/>
      <c r="BK11" s="616"/>
      <c r="BL11" s="616">
        <f>('[13]segmenty 3 m-ce PREZ'!$I$55)*1000</f>
        <v>144000</v>
      </c>
      <c r="BM11" s="613"/>
      <c r="BN11" s="616"/>
      <c r="BO11" s="616">
        <f>SUM([14]segmenty!$I$75:$J$75)*1000</f>
        <v>167000</v>
      </c>
      <c r="BP11" s="613"/>
      <c r="BQ11" s="616">
        <v>0</v>
      </c>
      <c r="BR11" s="616">
        <f>('[14]segmenty 3 m-ce PREZ'!$I$54)*1000</f>
        <v>98000</v>
      </c>
      <c r="BS11" s="613"/>
      <c r="BT11" s="616">
        <f>BW11-CC4</f>
        <v>206000</v>
      </c>
      <c r="BU11" s="617">
        <f>BX11-CD4</f>
        <v>83000</v>
      </c>
      <c r="BV11" s="613"/>
      <c r="BW11" s="616">
        <v>517000</v>
      </c>
      <c r="BX11" s="616">
        <v>276000</v>
      </c>
      <c r="BY11" s="613"/>
      <c r="BZ11" s="369"/>
      <c r="CA11" s="144"/>
      <c r="CB11" s="65"/>
      <c r="CC11" s="369"/>
      <c r="CD11" s="144"/>
      <c r="CE11" s="65"/>
      <c r="CF11" s="369"/>
      <c r="CG11" s="144"/>
      <c r="CH11" s="65"/>
      <c r="CI11" s="369"/>
      <c r="CJ11" s="144"/>
      <c r="CK11" s="65"/>
      <c r="CL11" s="369"/>
      <c r="CM11" s="144"/>
      <c r="CN11" s="162"/>
      <c r="CO11" s="369"/>
      <c r="CP11" s="144"/>
      <c r="CQ11" s="162"/>
      <c r="CR11" s="369"/>
      <c r="CS11" s="144"/>
      <c r="CT11" s="162"/>
      <c r="CU11" s="369"/>
      <c r="CV11" s="144"/>
      <c r="CW11" s="162"/>
      <c r="CX11" s="369"/>
      <c r="CY11" s="144"/>
      <c r="CZ11" s="162"/>
      <c r="DA11" s="369"/>
      <c r="DB11" s="144"/>
      <c r="DC11" s="162"/>
      <c r="DD11" s="369"/>
      <c r="DE11" s="144"/>
      <c r="DF11" s="162"/>
      <c r="DG11" s="369"/>
      <c r="DH11" s="144"/>
      <c r="DI11" s="162"/>
      <c r="DJ11" s="369">
        <f t="shared" si="5"/>
        <v>33500</v>
      </c>
      <c r="DK11" s="144">
        <f t="shared" si="6"/>
        <v>31506</v>
      </c>
      <c r="DL11" s="162"/>
      <c r="DM11" s="369">
        <v>100319</v>
      </c>
      <c r="DN11" s="369">
        <v>84483</v>
      </c>
      <c r="DO11" s="162"/>
      <c r="DP11" s="369">
        <f t="shared" si="7"/>
        <v>34379</v>
      </c>
      <c r="DQ11" s="144">
        <f t="shared" si="7"/>
        <v>25335</v>
      </c>
      <c r="DR11" s="162"/>
      <c r="DS11" s="369">
        <v>66819</v>
      </c>
      <c r="DT11" s="369">
        <v>52977</v>
      </c>
      <c r="DU11" s="162"/>
      <c r="DV11" s="369">
        <f t="shared" si="8"/>
        <v>18613</v>
      </c>
      <c r="DW11" s="144">
        <f t="shared" si="9"/>
        <v>16130</v>
      </c>
      <c r="DX11" s="162"/>
      <c r="DY11" s="369">
        <v>32440</v>
      </c>
      <c r="DZ11" s="144">
        <v>27642</v>
      </c>
      <c r="EA11" s="162"/>
      <c r="EB11" s="369">
        <v>13827</v>
      </c>
      <c r="EC11" s="144">
        <v>11512</v>
      </c>
      <c r="ED11" s="162"/>
      <c r="EE11" s="365"/>
      <c r="EF11" s="144"/>
      <c r="EG11" s="364"/>
      <c r="EH11" s="365"/>
      <c r="EI11" s="144"/>
      <c r="EJ11" s="364"/>
      <c r="EK11" s="365"/>
      <c r="EL11" s="144"/>
      <c r="EM11" s="364"/>
      <c r="EN11" s="365"/>
      <c r="EO11" s="144"/>
      <c r="EP11" s="364"/>
      <c r="EQ11" s="364"/>
      <c r="ER11" s="365"/>
      <c r="ES11" s="144"/>
      <c r="ET11" s="364"/>
      <c r="EU11" s="365"/>
      <c r="EV11" s="144"/>
      <c r="EW11" s="364"/>
      <c r="EX11" s="365"/>
      <c r="EY11" s="144"/>
      <c r="EZ11" s="364"/>
      <c r="FA11" s="365"/>
      <c r="FB11" s="144"/>
      <c r="FC11" s="364"/>
      <c r="FD11" s="365"/>
      <c r="FE11" s="144"/>
      <c r="FF11" s="364"/>
      <c r="FG11" s="365"/>
      <c r="FH11" s="144"/>
      <c r="FI11" s="364"/>
      <c r="FJ11" s="365"/>
      <c r="FK11" s="144"/>
      <c r="FL11" s="364"/>
      <c r="FM11" s="365"/>
      <c r="FN11" s="144"/>
      <c r="FO11" s="364"/>
      <c r="FP11" s="365"/>
      <c r="FQ11" s="144"/>
      <c r="FR11" s="364"/>
      <c r="FS11" s="365"/>
      <c r="FT11" s="144"/>
      <c r="FU11" s="364"/>
      <c r="FV11" s="365"/>
      <c r="FW11" s="144"/>
      <c r="FX11" s="364"/>
      <c r="FY11" s="365"/>
      <c r="FZ11" s="144"/>
      <c r="GA11" s="364"/>
      <c r="GB11" s="365"/>
      <c r="GC11" s="144"/>
      <c r="GD11" s="364"/>
      <c r="GE11" s="365"/>
      <c r="GF11" s="144"/>
      <c r="GG11" s="364"/>
      <c r="GH11" s="365"/>
      <c r="GI11" s="144"/>
      <c r="GJ11" s="162"/>
      <c r="GK11" s="168"/>
      <c r="GL11" s="169"/>
      <c r="GM11" s="162"/>
      <c r="GN11" s="168"/>
      <c r="GO11" s="169"/>
      <c r="GP11" s="162"/>
      <c r="GQ11" s="168"/>
      <c r="GR11" s="169"/>
      <c r="GS11" s="162"/>
      <c r="GT11" s="168"/>
      <c r="GU11" s="169"/>
      <c r="GV11" s="162"/>
      <c r="GW11" s="168"/>
      <c r="GX11" s="169"/>
      <c r="GY11" s="162"/>
      <c r="GZ11" s="168"/>
      <c r="HA11" s="169"/>
      <c r="HB11" s="162"/>
      <c r="HC11" s="168"/>
      <c r="HD11" s="169"/>
      <c r="HE11" s="162"/>
      <c r="HF11" s="168"/>
      <c r="HG11" s="169"/>
      <c r="HH11" s="162"/>
      <c r="HI11" s="168"/>
      <c r="HJ11" s="169"/>
      <c r="HK11" s="162"/>
      <c r="HL11" s="168"/>
      <c r="HM11" s="169"/>
      <c r="HN11" s="162"/>
      <c r="HO11" s="168"/>
      <c r="HP11" s="169"/>
      <c r="HQ11" s="162"/>
      <c r="HR11" s="169"/>
      <c r="HS11" s="169"/>
      <c r="HT11" s="156"/>
      <c r="HU11" s="169"/>
      <c r="HV11" s="169"/>
      <c r="HW11" s="156"/>
      <c r="HX11" s="169"/>
      <c r="HY11" s="169"/>
      <c r="HZ11" s="156"/>
      <c r="IA11" s="169"/>
      <c r="IB11" s="169"/>
      <c r="IC11" s="156"/>
      <c r="ID11" s="169"/>
      <c r="IE11" s="169"/>
      <c r="IF11" s="156"/>
      <c r="IG11" s="162"/>
      <c r="IH11" s="155"/>
      <c r="II11" s="155"/>
      <c r="IJ11" s="156"/>
      <c r="IK11" s="155"/>
      <c r="IL11" s="155"/>
      <c r="IM11" s="156"/>
      <c r="IN11" s="155"/>
      <c r="IO11" s="155"/>
      <c r="IP11" s="156"/>
      <c r="IQ11" s="166"/>
      <c r="IR11" s="166"/>
      <c r="IS11" s="156"/>
      <c r="IT11" s="156"/>
      <c r="IU11" s="156"/>
      <c r="IV11" s="156"/>
      <c r="IW11" s="156"/>
      <c r="IX11" s="156"/>
      <c r="IY11" s="156"/>
      <c r="IZ11" s="156"/>
      <c r="JA11" s="156"/>
      <c r="JB11" s="156"/>
      <c r="JC11" s="156"/>
      <c r="JD11" s="156"/>
      <c r="JE11" s="156"/>
      <c r="JF11" s="156"/>
      <c r="JG11" s="156"/>
      <c r="JH11" s="156"/>
      <c r="JI11" s="156"/>
      <c r="JJ11" s="156"/>
      <c r="JK11" s="156"/>
      <c r="JL11" s="156"/>
      <c r="JM11" s="156"/>
      <c r="JN11" s="156"/>
      <c r="JO11" s="156"/>
      <c r="JP11" s="156"/>
      <c r="JQ11" s="156"/>
      <c r="JR11" s="156"/>
      <c r="JS11" s="156"/>
      <c r="JT11" s="156"/>
      <c r="JU11" s="156"/>
      <c r="JV11" s="156"/>
      <c r="JW11" s="156"/>
      <c r="JX11" s="156"/>
      <c r="JY11" s="156"/>
      <c r="JZ11" s="156"/>
      <c r="KA11" s="156"/>
      <c r="KB11" s="156"/>
      <c r="KC11" s="156"/>
      <c r="KD11" s="156"/>
      <c r="KE11" s="156"/>
      <c r="KF11" s="156"/>
      <c r="KG11" s="156"/>
      <c r="KH11" s="156"/>
      <c r="KI11" s="156"/>
      <c r="KJ11" s="156"/>
      <c r="KK11" s="156"/>
      <c r="KL11" s="156"/>
      <c r="KM11" s="156"/>
      <c r="KN11" s="156"/>
      <c r="KO11" s="156"/>
      <c r="KP11" s="156"/>
      <c r="KQ11" s="156"/>
      <c r="KR11" s="156"/>
      <c r="KS11" s="156"/>
      <c r="KT11" s="156"/>
      <c r="KU11" s="156"/>
      <c r="KV11" s="156"/>
      <c r="KW11" s="156"/>
      <c r="KX11" s="156"/>
      <c r="KY11" s="156"/>
      <c r="KZ11" s="156"/>
      <c r="LA11" s="156"/>
      <c r="LB11" s="156"/>
      <c r="LC11" s="156"/>
      <c r="LD11" s="156"/>
      <c r="LE11" s="156"/>
      <c r="LF11" s="156"/>
      <c r="LG11" s="156"/>
      <c r="LH11" s="156"/>
      <c r="LI11" s="156"/>
      <c r="LJ11" s="156"/>
      <c r="LK11" s="156"/>
      <c r="LL11" s="156"/>
      <c r="LM11" s="156"/>
      <c r="LN11" s="156"/>
      <c r="LO11" s="156"/>
      <c r="LP11" s="156"/>
      <c r="LQ11" s="156"/>
      <c r="LR11" s="156"/>
      <c r="LS11" s="156"/>
      <c r="LT11" s="156"/>
      <c r="LU11" s="156"/>
      <c r="LV11" s="156"/>
    </row>
    <row r="12" spans="1:334">
      <c r="A12" s="66" t="s">
        <v>371</v>
      </c>
      <c r="B12" s="66"/>
      <c r="C12" s="756">
        <f>SUM(C4:C11)</f>
        <v>2423000</v>
      </c>
      <c r="D12" s="782">
        <f>SUM(D4:D11)</f>
        <v>2283000</v>
      </c>
      <c r="F12" s="756">
        <f>SUM(F4:F11)</f>
        <v>1275000</v>
      </c>
      <c r="G12" s="782">
        <f>SUM(G4:G11)</f>
        <v>1211000</v>
      </c>
      <c r="I12" s="709">
        <f>SUM(I4:I11)</f>
        <v>1148000</v>
      </c>
      <c r="J12" s="712">
        <f>SUM(J4:J11)</f>
        <v>1072000</v>
      </c>
      <c r="K12" s="66"/>
      <c r="L12" s="709">
        <f>SUM(L4:L11)</f>
        <v>5641000</v>
      </c>
      <c r="M12" s="712">
        <f>SUM(M4:M11)</f>
        <v>5127000</v>
      </c>
      <c r="N12" s="66"/>
      <c r="O12" s="709">
        <f>SUM(O4:O11)</f>
        <v>1974000</v>
      </c>
      <c r="P12" s="712">
        <f>SUM(P4:P11)</f>
        <v>1478000</v>
      </c>
      <c r="R12" s="709">
        <f>SUM(R4:R11)</f>
        <v>3667000</v>
      </c>
      <c r="S12" s="712">
        <f>SUM(S4:S11)</f>
        <v>3649000</v>
      </c>
      <c r="U12" s="709">
        <f>SUM(U4:U11)</f>
        <v>1384000</v>
      </c>
      <c r="V12" s="712">
        <f>SUM(V4:V11)</f>
        <v>1790000</v>
      </c>
      <c r="X12" s="709">
        <f>SUM(X4:X11)</f>
        <v>2283000</v>
      </c>
      <c r="Y12" s="712">
        <f>SUM(Y4:Y11)</f>
        <v>1859000</v>
      </c>
      <c r="AA12" s="709">
        <f>SUM(AA4:AA11)</f>
        <v>1211000</v>
      </c>
      <c r="AB12" s="712">
        <f>SUM(AB4:AB11)</f>
        <v>1012000</v>
      </c>
      <c r="AD12" s="652"/>
      <c r="AE12" s="654"/>
      <c r="AG12" s="652"/>
      <c r="AH12" s="654"/>
      <c r="AJ12" s="652"/>
      <c r="AK12" s="654"/>
      <c r="AM12" s="652"/>
      <c r="AN12" s="654"/>
      <c r="AP12" s="652"/>
      <c r="AQ12" s="654"/>
      <c r="AS12" s="652"/>
      <c r="AT12" s="654"/>
      <c r="AV12" s="652"/>
      <c r="AW12" s="654"/>
      <c r="AY12" s="652"/>
      <c r="AZ12" s="654"/>
      <c r="BB12" s="652"/>
      <c r="BC12" s="654"/>
      <c r="BE12" s="652"/>
      <c r="BF12" s="654"/>
      <c r="BH12" s="600"/>
      <c r="BI12" s="615"/>
      <c r="BK12" s="600"/>
      <c r="BL12" s="615"/>
      <c r="BN12" s="600"/>
      <c r="BO12" s="615"/>
      <c r="BQ12" s="600"/>
      <c r="BR12" s="615"/>
      <c r="BT12" s="600"/>
      <c r="BU12" s="615"/>
      <c r="BW12" s="600"/>
      <c r="BX12" s="615"/>
      <c r="BZ12" s="334"/>
      <c r="CA12" s="143"/>
      <c r="CC12" s="334"/>
      <c r="CD12" s="143"/>
      <c r="CF12" s="334">
        <f>SUM(CF4:CF11)</f>
        <v>871000</v>
      </c>
      <c r="CG12" s="143">
        <f>SUM(CG4:CG11)</f>
        <v>648000</v>
      </c>
      <c r="CI12" s="334">
        <f>SUM(CI4:CI11)</f>
        <v>1481000</v>
      </c>
      <c r="CJ12" s="143">
        <f>SUM(CJ4:CJ11)</f>
        <v>1286000</v>
      </c>
      <c r="CL12" s="334">
        <f>SUM(CL4:CL11)</f>
        <v>610000</v>
      </c>
      <c r="CM12" s="143">
        <f>SUM(CM4:CM11)</f>
        <v>638000</v>
      </c>
      <c r="CO12" s="334">
        <f>SUM(CO4:CO11)</f>
        <v>968858</v>
      </c>
      <c r="CP12" s="143">
        <f>SUM(CP4:CP11)</f>
        <v>1311397</v>
      </c>
      <c r="CR12" s="334">
        <f>SUM(CR4:CR11)</f>
        <v>2932000</v>
      </c>
      <c r="CS12" s="143">
        <f>SUM(CS4:CS11)</f>
        <v>4039000</v>
      </c>
      <c r="CU12" s="334">
        <f>SUM(CU4:CU11)</f>
        <v>676010</v>
      </c>
      <c r="CV12" s="143">
        <f>SUM(CV4:CV11)</f>
        <v>915322</v>
      </c>
      <c r="CX12" s="334">
        <f>SUM(CX4:CX11)</f>
        <v>1963142</v>
      </c>
      <c r="CY12" s="143">
        <f>SUM(CY4:CY11)</f>
        <v>2727603</v>
      </c>
      <c r="DA12" s="334">
        <f>SUM(DA4:DA11)</f>
        <v>648184</v>
      </c>
      <c r="DB12" s="143">
        <f>SUM(DB4:DB11)</f>
        <v>872439</v>
      </c>
      <c r="DD12" s="334">
        <f>SUM(DD4:DD11)</f>
        <v>1287132</v>
      </c>
      <c r="DE12" s="143">
        <f>SUM(DE4:DE11)</f>
        <v>1812281</v>
      </c>
      <c r="DG12" s="334">
        <f>SUM(DG4:DG11)</f>
        <v>638948</v>
      </c>
      <c r="DH12" s="143">
        <f>SUM(DH4:DH11)</f>
        <v>939842</v>
      </c>
      <c r="DJ12" s="334">
        <f>SUM(DJ4:DJ11)</f>
        <v>1311691</v>
      </c>
      <c r="DK12" s="143">
        <f>SUM(DK4:DK11)</f>
        <v>1386910</v>
      </c>
      <c r="DM12" s="334">
        <f>SUM(DM4:DM11)</f>
        <v>4039294</v>
      </c>
      <c r="DN12" s="334">
        <f>SUM(DN4:DN11)</f>
        <v>4127891</v>
      </c>
      <c r="DP12" s="334">
        <f>SUM(DP4:DP11)</f>
        <v>915322</v>
      </c>
      <c r="DQ12" s="143">
        <f>SUM(DQ4:DQ11)</f>
        <v>1098880</v>
      </c>
      <c r="DS12" s="334">
        <f>SUM(DS4:DS11)</f>
        <v>2727603</v>
      </c>
      <c r="DT12" s="334">
        <f>SUM(DT4:DT11)</f>
        <v>2740981</v>
      </c>
      <c r="DV12" s="334">
        <f>SUM(DV4:DV11)</f>
        <v>872439</v>
      </c>
      <c r="DW12" s="143">
        <f>SUM(DW4:DW11)</f>
        <v>915557</v>
      </c>
      <c r="DY12" s="334">
        <f>SUM(DY4:DY11)</f>
        <v>1812281</v>
      </c>
      <c r="DZ12" s="143">
        <f>SUM(DZ4:DZ11)</f>
        <v>1642101</v>
      </c>
      <c r="EB12" s="334">
        <f>SUM(EB4:EB11)</f>
        <v>939842</v>
      </c>
      <c r="EC12" s="143">
        <f>SUM(EC4:EC11)</f>
        <v>726544</v>
      </c>
      <c r="EE12" s="339">
        <f>SUM(EE4:EE10)</f>
        <v>4127891</v>
      </c>
      <c r="EF12" s="143">
        <f>SUM(EF4:EF10)</f>
        <v>3837860</v>
      </c>
      <c r="EG12" s="337"/>
      <c r="EH12" s="339">
        <f>SUM(EH4:EH10)</f>
        <v>1386910</v>
      </c>
      <c r="EI12" s="143">
        <f>SUM(EI4:EI10)</f>
        <v>1393647</v>
      </c>
      <c r="EJ12" s="337"/>
      <c r="EK12" s="339">
        <f>SUM(EK4:EK10)</f>
        <v>2740981</v>
      </c>
      <c r="EL12" s="143">
        <f>SUM(EL4:EL10)</f>
        <v>2444213</v>
      </c>
      <c r="EM12" s="337"/>
      <c r="EN12" s="339">
        <f>SUM(EN4:EN10)</f>
        <v>1098880</v>
      </c>
      <c r="EO12" s="143">
        <f>SUM(EO4:EO10)</f>
        <v>883714</v>
      </c>
      <c r="EP12" s="337"/>
      <c r="EQ12" s="337"/>
      <c r="ER12" s="339">
        <f>SUM(ER4:ER10)</f>
        <v>1642101</v>
      </c>
      <c r="ES12" s="143">
        <f>SUM(ES4:ES10)</f>
        <v>1560499</v>
      </c>
      <c r="ET12" s="337"/>
      <c r="EU12" s="339">
        <f>SUM(EU4:EU10)</f>
        <v>915557</v>
      </c>
      <c r="EV12" s="143">
        <f>SUM(EV4:EV10)</f>
        <v>954016</v>
      </c>
      <c r="EW12" s="337"/>
      <c r="EX12" s="339">
        <f>SUM(EX4:EX10)</f>
        <v>726544</v>
      </c>
      <c r="EY12" s="143">
        <f>SUM(EY4:EY10)</f>
        <v>606483</v>
      </c>
      <c r="EZ12" s="337"/>
      <c r="FA12" s="339">
        <f>SUM(FA4:FA10)</f>
        <v>3672005</v>
      </c>
      <c r="FB12" s="143">
        <f>SUM(FB4:FB10)</f>
        <v>3474148</v>
      </c>
      <c r="FD12" s="339">
        <f>SUM(FD4:FD10)</f>
        <v>1347284</v>
      </c>
      <c r="FE12" s="143">
        <f>SUM(FE4:FE10)</f>
        <v>1256787</v>
      </c>
      <c r="FG12" s="339">
        <f>SUM(FG4:FG10)</f>
        <v>2324721</v>
      </c>
      <c r="FH12" s="143">
        <f>SUM(FH4:FH10)</f>
        <v>2217361</v>
      </c>
      <c r="FJ12" s="339">
        <f>SUM(FJ4:FJ10)</f>
        <v>844391</v>
      </c>
      <c r="FK12" s="143">
        <f>SUM(FK4:FK10)</f>
        <v>722119</v>
      </c>
      <c r="FM12" s="339">
        <f>SUM(FM4:FM10)</f>
        <v>1480330</v>
      </c>
      <c r="FN12" s="143">
        <f>SUM(FN4:FN10)</f>
        <v>1495242</v>
      </c>
      <c r="FO12" s="337"/>
      <c r="FP12" s="339">
        <f>SUM(FP4:FP10)</f>
        <v>911630</v>
      </c>
      <c r="FQ12" s="143">
        <f>SUM(FQ4:FQ10)</f>
        <v>859154</v>
      </c>
      <c r="FR12" s="337"/>
      <c r="FS12" s="339">
        <f>SUM(FS4:FS10)</f>
        <v>568700</v>
      </c>
      <c r="FT12" s="143">
        <f>SUM(FT4:FT10)</f>
        <v>636088</v>
      </c>
      <c r="FU12" s="337"/>
      <c r="FV12" s="339">
        <f>SUM(FV4:FV10)</f>
        <v>3474148</v>
      </c>
      <c r="FW12" s="143">
        <f>SUM(FW4:FW10)</f>
        <v>3816811</v>
      </c>
      <c r="FX12" s="337"/>
      <c r="FY12" s="339">
        <f>SUM(FY4:FY10)</f>
        <v>1256787</v>
      </c>
      <c r="FZ12" s="143">
        <f>SUM(FZ4:FZ10)</f>
        <v>1366994</v>
      </c>
      <c r="GA12" s="337"/>
      <c r="GB12" s="339">
        <f>SUM(GB4:GB10)</f>
        <v>2217361</v>
      </c>
      <c r="GC12" s="143">
        <f>SUM(GC4:GC10)</f>
        <v>2449817</v>
      </c>
      <c r="GD12" s="337"/>
      <c r="GE12" s="339">
        <f>SUM(GE4:GE10)</f>
        <v>722119</v>
      </c>
      <c r="GF12" s="143">
        <f>SUM(GF4:GF10)</f>
        <v>997687</v>
      </c>
      <c r="GG12" s="337"/>
      <c r="GH12" s="339">
        <f>SUM(GH4:GH10)</f>
        <v>1495242</v>
      </c>
      <c r="GI12" s="143">
        <f>SUM(GI4:GI10)</f>
        <v>1452130</v>
      </c>
      <c r="GJ12" s="156"/>
      <c r="GK12" s="165">
        <f>SUM(GK4:GK10)</f>
        <v>859154</v>
      </c>
      <c r="GL12" s="155">
        <f>SUM(GL4:GL10)</f>
        <v>798407</v>
      </c>
      <c r="GM12" s="156"/>
      <c r="GN12" s="165">
        <f>SUM(GN4:GN10)</f>
        <v>636088</v>
      </c>
      <c r="GO12" s="155">
        <f>SUM(GO4:GO10)</f>
        <v>653723</v>
      </c>
      <c r="GP12" s="156"/>
      <c r="GQ12" s="165">
        <f>SUM(GQ4:GQ10)</f>
        <v>3816811</v>
      </c>
      <c r="GR12" s="155">
        <f>SUM(GR4:GR10)</f>
        <v>4175470</v>
      </c>
      <c r="GS12" s="156"/>
      <c r="GT12" s="155">
        <f>SUM(GT4:GT10)</f>
        <v>1366994</v>
      </c>
      <c r="GU12" s="155">
        <f>SUM(GU4:GU10)</f>
        <v>1396598</v>
      </c>
      <c r="GV12" s="156"/>
      <c r="GW12" s="165">
        <f>SUM(GW4:GW10)</f>
        <v>2449817</v>
      </c>
      <c r="GX12" s="155">
        <f>SUM(GX4:GX10)</f>
        <v>2778872</v>
      </c>
      <c r="GY12" s="156"/>
      <c r="GZ12" s="155">
        <f>SUM(GZ4:GZ10)</f>
        <v>997687</v>
      </c>
      <c r="HA12" s="155">
        <f>SUM(HA4:HA10)</f>
        <v>1008145</v>
      </c>
      <c r="HB12" s="156"/>
      <c r="HC12" s="165">
        <f>SUM(HC4:HC10)</f>
        <v>1452130</v>
      </c>
      <c r="HD12" s="155">
        <f>SUM(HD4:HD10)</f>
        <v>1770727</v>
      </c>
      <c r="HE12" s="156"/>
      <c r="HF12" s="155">
        <f>SUM(HF4:HF10)</f>
        <v>798407</v>
      </c>
      <c r="HG12" s="155">
        <f>SUM(HG4:HG10)</f>
        <v>979049</v>
      </c>
      <c r="HH12" s="156"/>
      <c r="HI12" s="165">
        <f>SUM(HI4:HI10)</f>
        <v>653723</v>
      </c>
      <c r="HJ12" s="155">
        <f>SUM(HJ4:HJ10)</f>
        <v>791678</v>
      </c>
      <c r="HK12" s="156"/>
      <c r="HL12" s="165">
        <f>SUM(HL4:HL10)</f>
        <v>4175470</v>
      </c>
      <c r="HM12" s="155">
        <f>SUM(HM4:HM10)</f>
        <v>3089592</v>
      </c>
      <c r="HN12" s="156"/>
      <c r="HO12" s="165">
        <f>SUM(HO4:HO10)</f>
        <v>1396598</v>
      </c>
      <c r="HP12" s="155">
        <f>SUM(HP4:HP10)</f>
        <v>1079388</v>
      </c>
      <c r="HQ12" s="170"/>
      <c r="HR12" s="155">
        <f>SUM(HR4:HR10)</f>
        <v>2778872</v>
      </c>
      <c r="HS12" s="155">
        <f>SUM(HS4:HS10)</f>
        <v>2010204</v>
      </c>
      <c r="HT12" s="156"/>
      <c r="HU12" s="155">
        <f>SUM(HU4:HU10)</f>
        <v>1008145</v>
      </c>
      <c r="HV12" s="155">
        <f>SUM(HV4:HV10)</f>
        <v>760127</v>
      </c>
      <c r="HW12" s="156"/>
      <c r="HX12" s="155">
        <f>SUM(HX4:HX10)</f>
        <v>1770727</v>
      </c>
      <c r="HY12" s="155">
        <f>SUM(HY4:HY10)</f>
        <v>1250077</v>
      </c>
      <c r="HZ12" s="156"/>
      <c r="IA12" s="155">
        <f>SUM(IA4:IA10)</f>
        <v>979049</v>
      </c>
      <c r="IB12" s="155">
        <f>SUM(IB4:IB10)</f>
        <v>684767</v>
      </c>
      <c r="IC12" s="156"/>
      <c r="ID12" s="155">
        <f>SUM(ID4:ID10)</f>
        <v>791678</v>
      </c>
      <c r="IE12" s="155">
        <f>SUM(IE4:IE10)</f>
        <v>565310</v>
      </c>
      <c r="IF12" s="156"/>
      <c r="IG12" s="162" t="s">
        <v>22</v>
      </c>
      <c r="IH12" s="155">
        <v>5928</v>
      </c>
      <c r="II12" s="155">
        <v>21424</v>
      </c>
      <c r="IJ12" s="156"/>
      <c r="IK12" s="155">
        <v>2209</v>
      </c>
      <c r="IL12" s="155">
        <v>15087</v>
      </c>
      <c r="IM12" s="156"/>
      <c r="IN12" s="155">
        <v>801</v>
      </c>
      <c r="IO12" s="155">
        <v>11187</v>
      </c>
      <c r="IP12" s="156"/>
      <c r="IQ12" s="166">
        <v>21424</v>
      </c>
      <c r="IR12" s="166">
        <v>62003</v>
      </c>
      <c r="IS12" s="156"/>
      <c r="IT12" s="156"/>
      <c r="IU12" s="156"/>
      <c r="IV12" s="156"/>
      <c r="IW12" s="156"/>
      <c r="IX12" s="156"/>
      <c r="IY12" s="156"/>
      <c r="IZ12" s="156"/>
      <c r="JA12" s="156"/>
      <c r="JB12" s="156"/>
      <c r="JC12" s="156"/>
      <c r="JD12" s="156"/>
      <c r="JE12" s="156"/>
      <c r="JF12" s="156"/>
      <c r="JG12" s="156"/>
      <c r="JH12" s="156"/>
      <c r="JI12" s="156"/>
      <c r="JJ12" s="156"/>
      <c r="JK12" s="156"/>
      <c r="JL12" s="156"/>
      <c r="JM12" s="156"/>
      <c r="JN12" s="156"/>
      <c r="JO12" s="156"/>
      <c r="JP12" s="156"/>
      <c r="JQ12" s="156"/>
      <c r="JR12" s="156"/>
      <c r="JS12" s="156"/>
      <c r="JT12" s="156"/>
      <c r="JU12" s="156"/>
      <c r="JV12" s="156"/>
      <c r="JW12" s="156"/>
      <c r="JX12" s="156"/>
      <c r="JY12" s="156"/>
      <c r="JZ12" s="156"/>
      <c r="KA12" s="156"/>
      <c r="KB12" s="156"/>
      <c r="KC12" s="156"/>
      <c r="KD12" s="156"/>
      <c r="KE12" s="156"/>
      <c r="KF12" s="156"/>
      <c r="KG12" s="156"/>
      <c r="KH12" s="156"/>
      <c r="KI12" s="156"/>
      <c r="KJ12" s="156"/>
      <c r="KK12" s="156"/>
      <c r="KL12" s="156"/>
      <c r="KM12" s="156"/>
      <c r="KN12" s="156"/>
      <c r="KO12" s="156"/>
      <c r="KP12" s="156"/>
      <c r="KQ12" s="156"/>
      <c r="KR12" s="156"/>
      <c r="KS12" s="156"/>
      <c r="KT12" s="156"/>
      <c r="KU12" s="156"/>
      <c r="KV12" s="156"/>
      <c r="KW12" s="156"/>
      <c r="KX12" s="156"/>
      <c r="KY12" s="156"/>
      <c r="KZ12" s="156"/>
      <c r="LA12" s="156"/>
      <c r="LB12" s="156"/>
      <c r="LC12" s="156"/>
      <c r="LD12" s="156"/>
      <c r="LE12" s="156"/>
      <c r="LF12" s="156"/>
      <c r="LG12" s="156"/>
      <c r="LH12" s="156"/>
      <c r="LI12" s="156"/>
      <c r="LJ12" s="156"/>
      <c r="LK12" s="156"/>
      <c r="LL12" s="156"/>
      <c r="LM12" s="156"/>
      <c r="LN12" s="156"/>
      <c r="LO12" s="156"/>
      <c r="LP12" s="156"/>
      <c r="LQ12" s="156"/>
      <c r="LR12" s="156"/>
      <c r="LS12" s="156"/>
      <c r="LT12" s="156"/>
      <c r="LU12" s="156"/>
      <c r="LV12" s="156"/>
    </row>
    <row r="13" spans="1:334">
      <c r="EE13" s="366"/>
      <c r="EF13" s="337"/>
      <c r="EG13" s="337"/>
      <c r="EH13" s="366"/>
      <c r="EI13" s="337"/>
      <c r="EJ13" s="337"/>
      <c r="EK13" s="366"/>
      <c r="EL13" s="337"/>
      <c r="EM13" s="337"/>
      <c r="EN13" s="366"/>
      <c r="EO13" s="337"/>
      <c r="EP13" s="337"/>
      <c r="EQ13" s="337"/>
      <c r="ER13" s="366"/>
      <c r="ES13" s="337"/>
      <c r="ET13" s="337"/>
      <c r="EU13" s="366"/>
      <c r="EV13" s="337"/>
      <c r="EW13" s="337"/>
      <c r="EX13" s="366"/>
      <c r="EY13" s="337"/>
      <c r="EZ13" s="337"/>
      <c r="FM13" s="366"/>
      <c r="FN13" s="337"/>
      <c r="FO13" s="337"/>
      <c r="FP13" s="366"/>
      <c r="FQ13" s="337"/>
      <c r="FR13" s="337"/>
      <c r="FS13" s="366"/>
      <c r="FT13" s="337"/>
      <c r="FU13" s="337"/>
      <c r="FV13" s="366"/>
      <c r="FW13" s="337"/>
      <c r="FX13" s="337"/>
      <c r="FY13" s="366"/>
      <c r="FZ13" s="337"/>
      <c r="GA13" s="337"/>
      <c r="GB13" s="366"/>
      <c r="GC13" s="337"/>
      <c r="GD13" s="337"/>
      <c r="GE13" s="366"/>
      <c r="GF13" s="337"/>
      <c r="GG13" s="337"/>
      <c r="GH13" s="366"/>
      <c r="GI13" s="337"/>
      <c r="GJ13" s="156"/>
      <c r="GK13" s="171"/>
      <c r="GL13" s="156"/>
      <c r="GM13" s="156"/>
      <c r="GN13" s="171"/>
      <c r="GO13" s="156"/>
      <c r="GP13" s="156"/>
      <c r="GQ13" s="171"/>
      <c r="GR13" s="156"/>
      <c r="GS13" s="156"/>
      <c r="GT13" s="156"/>
      <c r="GU13" s="156"/>
      <c r="GV13" s="156"/>
      <c r="GW13" s="171"/>
      <c r="GX13" s="156"/>
      <c r="GY13" s="156"/>
      <c r="GZ13" s="156"/>
      <c r="HA13" s="156"/>
      <c r="HB13" s="156"/>
      <c r="HC13" s="171"/>
      <c r="HD13" s="156"/>
      <c r="HE13" s="156"/>
      <c r="HF13" s="156"/>
      <c r="HG13" s="156"/>
      <c r="HH13" s="156"/>
      <c r="HI13" s="171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62" t="s">
        <v>25</v>
      </c>
      <c r="IH13" s="155">
        <v>96346</v>
      </c>
      <c r="II13" s="155">
        <v>82746</v>
      </c>
      <c r="IJ13" s="156"/>
      <c r="IK13" s="155">
        <v>52364</v>
      </c>
      <c r="IL13" s="155">
        <v>25216</v>
      </c>
      <c r="IM13" s="156"/>
      <c r="IN13" s="155">
        <v>40240</v>
      </c>
      <c r="IO13" s="155">
        <v>12650</v>
      </c>
      <c r="IP13" s="156"/>
      <c r="IQ13" s="166">
        <v>82746</v>
      </c>
      <c r="IR13" s="166">
        <v>21554</v>
      </c>
      <c r="IS13" s="156"/>
      <c r="IT13" s="156"/>
      <c r="IU13" s="156"/>
      <c r="IV13" s="156"/>
      <c r="IW13" s="156"/>
      <c r="IX13" s="156"/>
      <c r="IY13" s="156"/>
      <c r="IZ13" s="156"/>
      <c r="JA13" s="156"/>
      <c r="JB13" s="156"/>
      <c r="JC13" s="156"/>
      <c r="JD13" s="156"/>
      <c r="JE13" s="156"/>
      <c r="JF13" s="156"/>
      <c r="JG13" s="156"/>
      <c r="JH13" s="156"/>
      <c r="JI13" s="156"/>
      <c r="JJ13" s="156"/>
      <c r="JK13" s="156"/>
      <c r="JL13" s="156"/>
      <c r="JM13" s="156"/>
      <c r="JN13" s="156"/>
      <c r="JO13" s="156"/>
      <c r="JP13" s="156"/>
      <c r="JQ13" s="156"/>
      <c r="JR13" s="156"/>
      <c r="JS13" s="156"/>
      <c r="JT13" s="156"/>
      <c r="JU13" s="156"/>
      <c r="JV13" s="156"/>
      <c r="JW13" s="156"/>
      <c r="JX13" s="156"/>
      <c r="JY13" s="156"/>
      <c r="JZ13" s="156"/>
      <c r="KA13" s="156"/>
      <c r="KB13" s="156"/>
      <c r="KC13" s="156"/>
      <c r="KD13" s="156"/>
      <c r="KE13" s="156"/>
      <c r="KF13" s="156"/>
      <c r="KG13" s="156"/>
      <c r="KH13" s="156"/>
      <c r="KI13" s="156"/>
      <c r="KJ13" s="156"/>
      <c r="KK13" s="156"/>
      <c r="KL13" s="156"/>
      <c r="KM13" s="156"/>
      <c r="KN13" s="156"/>
      <c r="KO13" s="156"/>
      <c r="KP13" s="156"/>
      <c r="KQ13" s="156"/>
      <c r="KR13" s="156"/>
      <c r="KS13" s="156"/>
      <c r="KT13" s="156"/>
      <c r="KU13" s="156"/>
      <c r="KV13" s="156"/>
      <c r="KW13" s="156"/>
      <c r="KX13" s="156"/>
      <c r="KY13" s="156"/>
      <c r="KZ13" s="156"/>
      <c r="LA13" s="156"/>
      <c r="LB13" s="156"/>
      <c r="LC13" s="156"/>
      <c r="LD13" s="156"/>
      <c r="LE13" s="156"/>
      <c r="LF13" s="156"/>
      <c r="LG13" s="156"/>
      <c r="LH13" s="156"/>
      <c r="LI13" s="156"/>
      <c r="LJ13" s="156"/>
      <c r="LK13" s="156"/>
      <c r="LL13" s="156"/>
      <c r="LM13" s="156"/>
      <c r="LN13" s="156"/>
      <c r="LO13" s="156"/>
      <c r="LP13" s="156"/>
      <c r="LQ13" s="156"/>
      <c r="LR13" s="156"/>
      <c r="LS13" s="156"/>
      <c r="LT13" s="156"/>
      <c r="LU13" s="156"/>
      <c r="LV13" s="156"/>
    </row>
    <row r="14" spans="1:334">
      <c r="A14" s="65"/>
      <c r="B14" s="65"/>
      <c r="C14" s="756"/>
      <c r="D14" s="785"/>
      <c r="E14" s="780"/>
      <c r="F14" s="756"/>
      <c r="G14" s="785"/>
      <c r="H14" s="780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2"/>
      <c r="Y14" s="655"/>
      <c r="Z14" s="650"/>
      <c r="AA14" s="652"/>
      <c r="AB14" s="655"/>
      <c r="AC14" s="650"/>
      <c r="AD14" s="652"/>
      <c r="AE14" s="655"/>
      <c r="AF14" s="650"/>
      <c r="AG14" s="652"/>
      <c r="AH14" s="655"/>
      <c r="AI14" s="650"/>
      <c r="AJ14" s="652"/>
      <c r="AK14" s="655"/>
      <c r="AL14" s="650"/>
      <c r="AM14" s="652"/>
      <c r="AN14" s="655"/>
      <c r="AO14" s="650"/>
      <c r="AP14" s="652"/>
      <c r="AQ14" s="655"/>
      <c r="AR14" s="65"/>
      <c r="AS14" s="652"/>
      <c r="AT14" s="655"/>
      <c r="AU14" s="650"/>
      <c r="AV14" s="652"/>
      <c r="AW14" s="655"/>
      <c r="AX14" s="650"/>
      <c r="AY14" s="652"/>
      <c r="AZ14" s="655"/>
      <c r="BA14" s="650"/>
      <c r="BB14" s="652"/>
      <c r="BC14" s="655"/>
      <c r="BD14" s="650"/>
      <c r="BE14" s="652"/>
      <c r="BF14" s="655"/>
      <c r="BG14" s="650"/>
      <c r="BH14" s="600"/>
      <c r="BI14" s="618"/>
      <c r="BJ14" s="613"/>
      <c r="BK14" s="600"/>
      <c r="BL14" s="618"/>
      <c r="BM14" s="613"/>
      <c r="BN14" s="600"/>
      <c r="BO14" s="618"/>
      <c r="BP14" s="613"/>
      <c r="BQ14" s="600"/>
      <c r="BR14" s="618"/>
      <c r="BS14" s="613"/>
      <c r="BT14" s="600"/>
      <c r="BU14" s="618"/>
      <c r="BV14" s="613"/>
      <c r="BW14" s="600"/>
      <c r="BX14" s="618"/>
      <c r="BY14" s="613"/>
      <c r="BZ14" s="334"/>
      <c r="CA14" s="155"/>
      <c r="CB14" s="65"/>
      <c r="CC14" s="334"/>
      <c r="CD14" s="155"/>
      <c r="CE14" s="65"/>
      <c r="CF14" s="334"/>
      <c r="CG14" s="155"/>
      <c r="CH14" s="65"/>
      <c r="CI14" s="334"/>
      <c r="CJ14" s="155"/>
      <c r="CK14" s="65"/>
      <c r="CL14" s="334"/>
      <c r="CM14" s="155"/>
      <c r="CN14" s="162"/>
      <c r="CO14" s="334"/>
      <c r="CP14" s="155"/>
      <c r="CQ14" s="162"/>
      <c r="CR14" s="334"/>
      <c r="CS14" s="155"/>
      <c r="CT14" s="162"/>
      <c r="CU14" s="334"/>
      <c r="CV14" s="155"/>
      <c r="CW14" s="162"/>
      <c r="CX14" s="334"/>
      <c r="CY14" s="155"/>
      <c r="CZ14" s="162"/>
      <c r="DA14" s="334"/>
      <c r="DB14" s="155"/>
      <c r="DC14" s="162"/>
      <c r="DD14" s="334"/>
      <c r="DE14" s="155"/>
      <c r="DF14" s="162"/>
      <c r="DG14" s="334"/>
      <c r="DH14" s="155"/>
      <c r="DI14" s="162"/>
      <c r="DJ14" s="334"/>
      <c r="DK14" s="155"/>
      <c r="DL14" s="162"/>
      <c r="DM14" s="334"/>
      <c r="DN14" s="155"/>
      <c r="DO14" s="162"/>
      <c r="DP14" s="334"/>
      <c r="DQ14" s="155"/>
      <c r="DR14" s="162"/>
      <c r="DS14" s="334"/>
      <c r="DT14" s="155"/>
      <c r="DU14" s="162"/>
      <c r="DV14" s="334"/>
      <c r="DW14" s="155"/>
      <c r="DX14" s="162"/>
      <c r="DY14" s="334"/>
      <c r="DZ14" s="155"/>
      <c r="EA14" s="162"/>
      <c r="EB14" s="334"/>
      <c r="EC14" s="155"/>
      <c r="ED14" s="162"/>
      <c r="EE14" s="334"/>
      <c r="EF14" s="155"/>
      <c r="EG14" s="65"/>
      <c r="EH14" s="334"/>
      <c r="EI14" s="155"/>
      <c r="EJ14" s="65"/>
      <c r="EK14" s="334"/>
      <c r="EL14" s="155"/>
      <c r="EM14" s="65"/>
      <c r="EN14" s="334"/>
      <c r="EO14" s="155"/>
      <c r="EP14" s="65"/>
      <c r="EQ14" s="65"/>
      <c r="ER14" s="334"/>
      <c r="ES14" s="155"/>
      <c r="ET14" s="65"/>
      <c r="EU14" s="334"/>
      <c r="EV14" s="155"/>
      <c r="EW14" s="65"/>
      <c r="EX14" s="334"/>
      <c r="EY14" s="155"/>
      <c r="EZ14" s="162"/>
      <c r="FA14" s="339"/>
      <c r="FB14" s="143"/>
      <c r="FC14" s="364"/>
      <c r="FD14" s="339"/>
      <c r="FE14" s="143"/>
      <c r="FF14" s="364"/>
      <c r="FG14" s="339"/>
      <c r="FH14" s="143"/>
      <c r="FI14" s="364"/>
      <c r="FJ14" s="339"/>
      <c r="FK14" s="143"/>
      <c r="FL14" s="364"/>
      <c r="FM14" s="165"/>
      <c r="FN14" s="155"/>
      <c r="FO14" s="162"/>
      <c r="FP14" s="165"/>
      <c r="FQ14" s="155"/>
      <c r="FR14" s="162"/>
      <c r="FS14" s="165"/>
      <c r="FT14" s="155"/>
      <c r="FU14" s="162"/>
      <c r="FV14" s="165"/>
      <c r="FW14" s="155"/>
      <c r="FX14" s="65"/>
      <c r="FY14" s="165"/>
      <c r="FZ14" s="155"/>
      <c r="GA14" s="162"/>
      <c r="GB14" s="165"/>
      <c r="GC14" s="155"/>
      <c r="GD14" s="162"/>
      <c r="GE14" s="165"/>
      <c r="GF14" s="155"/>
      <c r="GG14" s="162"/>
      <c r="GH14" s="165"/>
      <c r="GI14" s="155"/>
      <c r="GJ14" s="162"/>
      <c r="GK14" s="165"/>
      <c r="GL14" s="155"/>
      <c r="GM14" s="162"/>
      <c r="GN14" s="165"/>
      <c r="GO14" s="155"/>
      <c r="GP14" s="162"/>
      <c r="GQ14" s="165"/>
      <c r="GR14" s="155"/>
      <c r="GS14" s="162"/>
      <c r="GT14" s="155"/>
      <c r="GU14" s="155"/>
      <c r="GV14" s="162"/>
      <c r="GW14" s="165"/>
      <c r="GX14" s="155"/>
      <c r="GY14" s="162"/>
      <c r="GZ14" s="155"/>
      <c r="HA14" s="155"/>
      <c r="HB14" s="162"/>
      <c r="HC14" s="165"/>
      <c r="HD14" s="155"/>
      <c r="HE14" s="162"/>
      <c r="HF14" s="155"/>
      <c r="HG14" s="155"/>
      <c r="HH14" s="162"/>
      <c r="HI14" s="165"/>
      <c r="HJ14" s="155"/>
      <c r="HK14" s="162"/>
      <c r="HL14" s="155"/>
      <c r="HM14" s="155"/>
      <c r="HN14" s="162"/>
      <c r="HO14" s="155"/>
      <c r="HP14" s="155"/>
      <c r="HQ14" s="162"/>
      <c r="HR14" s="155"/>
      <c r="HS14" s="155"/>
      <c r="HT14" s="156"/>
      <c r="HU14" s="155"/>
      <c r="HV14" s="155"/>
      <c r="HW14" s="156"/>
      <c r="HX14" s="155"/>
      <c r="HY14" s="155"/>
      <c r="HZ14" s="156"/>
      <c r="IA14" s="155"/>
      <c r="IB14" s="155"/>
      <c r="IC14" s="156"/>
      <c r="ID14" s="155"/>
      <c r="IE14" s="155"/>
      <c r="IF14" s="156"/>
      <c r="IG14" s="172" t="s">
        <v>24</v>
      </c>
      <c r="IH14" s="169">
        <v>8611</v>
      </c>
      <c r="II14" s="169">
        <v>8093</v>
      </c>
      <c r="IJ14" s="156"/>
      <c r="IK14" s="169">
        <v>4580</v>
      </c>
      <c r="IL14" s="169">
        <v>5531</v>
      </c>
      <c r="IM14" s="156"/>
      <c r="IN14" s="169">
        <v>2977</v>
      </c>
      <c r="IO14" s="169">
        <v>3686</v>
      </c>
      <c r="IP14" s="156"/>
      <c r="IQ14" s="173">
        <v>8093</v>
      </c>
      <c r="IR14" s="173">
        <v>15588</v>
      </c>
      <c r="IS14" s="156"/>
      <c r="IT14" s="156"/>
      <c r="IU14" s="156"/>
      <c r="IV14" s="156"/>
      <c r="IW14" s="156"/>
      <c r="IX14" s="156"/>
      <c r="IY14" s="156"/>
      <c r="IZ14" s="156"/>
      <c r="JA14" s="156"/>
      <c r="JB14" s="156"/>
      <c r="JC14" s="156"/>
      <c r="JD14" s="156"/>
      <c r="JE14" s="156"/>
      <c r="JF14" s="156"/>
      <c r="JG14" s="156"/>
      <c r="JH14" s="156"/>
      <c r="JI14" s="156"/>
      <c r="JJ14" s="156"/>
      <c r="JK14" s="156"/>
      <c r="JL14" s="156"/>
      <c r="JM14" s="156"/>
      <c r="JN14" s="156"/>
      <c r="JO14" s="156"/>
      <c r="JP14" s="156"/>
      <c r="JQ14" s="156"/>
      <c r="JR14" s="156"/>
      <c r="JS14" s="156"/>
      <c r="JT14" s="156"/>
      <c r="JU14" s="156"/>
      <c r="JV14" s="156"/>
      <c r="JW14" s="156"/>
      <c r="JX14" s="156"/>
      <c r="JY14" s="156"/>
      <c r="JZ14" s="156"/>
      <c r="KA14" s="156"/>
      <c r="KB14" s="156"/>
      <c r="KC14" s="156"/>
      <c r="KD14" s="156"/>
      <c r="KE14" s="156"/>
      <c r="KF14" s="156"/>
      <c r="KG14" s="156"/>
      <c r="KH14" s="156"/>
      <c r="KI14" s="156"/>
      <c r="KJ14" s="156"/>
      <c r="KK14" s="156"/>
      <c r="KL14" s="156"/>
      <c r="KM14" s="156"/>
      <c r="KN14" s="156"/>
      <c r="KO14" s="156"/>
      <c r="KP14" s="156"/>
      <c r="KQ14" s="156"/>
      <c r="KR14" s="156"/>
      <c r="KS14" s="156"/>
      <c r="KT14" s="156"/>
      <c r="KU14" s="156"/>
      <c r="KV14" s="156"/>
      <c r="KW14" s="156"/>
      <c r="KX14" s="156"/>
      <c r="KY14" s="156"/>
      <c r="KZ14" s="156"/>
      <c r="LA14" s="156"/>
      <c r="LB14" s="156"/>
      <c r="LC14" s="156"/>
      <c r="LD14" s="156"/>
      <c r="LE14" s="156"/>
      <c r="LF14" s="156"/>
      <c r="LG14" s="156"/>
      <c r="LH14" s="156"/>
      <c r="LI14" s="156"/>
      <c r="LJ14" s="156"/>
      <c r="LK14" s="156"/>
      <c r="LL14" s="156"/>
      <c r="LM14" s="156"/>
      <c r="LN14" s="156"/>
      <c r="LO14" s="156"/>
      <c r="LP14" s="156"/>
      <c r="LQ14" s="156"/>
      <c r="LR14" s="156"/>
      <c r="LS14" s="156"/>
      <c r="LT14" s="156"/>
      <c r="LU14" s="156"/>
      <c r="LV14" s="156"/>
    </row>
    <row r="15" spans="1:334">
      <c r="O15" s="722"/>
      <c r="P15" s="722"/>
      <c r="FV15" s="171"/>
      <c r="FW15" s="156"/>
      <c r="FY15" s="171"/>
      <c r="FZ15" s="156"/>
      <c r="GA15" s="156"/>
      <c r="GB15" s="171"/>
      <c r="GC15" s="156"/>
      <c r="GD15" s="156"/>
      <c r="GE15" s="171"/>
      <c r="GF15" s="156"/>
      <c r="GG15" s="156"/>
      <c r="GH15" s="171"/>
      <c r="GI15" s="156"/>
      <c r="GJ15" s="156"/>
      <c r="GK15" s="171"/>
      <c r="GL15" s="156"/>
      <c r="GM15" s="156"/>
      <c r="GN15" s="171"/>
      <c r="GO15" s="156"/>
      <c r="GP15" s="156"/>
      <c r="GQ15" s="171"/>
      <c r="GR15" s="156"/>
      <c r="GS15" s="156"/>
      <c r="GT15" s="156"/>
      <c r="GU15" s="156"/>
      <c r="GV15" s="156"/>
      <c r="GW15" s="171"/>
      <c r="GX15" s="156"/>
      <c r="GY15" s="156"/>
      <c r="GZ15" s="156"/>
      <c r="HA15" s="156"/>
      <c r="HB15" s="156"/>
      <c r="HC15" s="171"/>
      <c r="HD15" s="156"/>
      <c r="HE15" s="156"/>
      <c r="HF15" s="156"/>
      <c r="HG15" s="156"/>
      <c r="HH15" s="156"/>
      <c r="HI15" s="171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5">
        <f>SUM(IH4:IH14)</f>
        <v>3089592</v>
      </c>
      <c r="II15" s="155">
        <f>SUM(II4:II14)</f>
        <v>3779555</v>
      </c>
      <c r="IJ15" s="156"/>
      <c r="IK15" s="155">
        <f>SUM(IK4:IK14)</f>
        <v>2010204</v>
      </c>
      <c r="IL15" s="155">
        <f>SUM(IL4:IL14)</f>
        <v>2368393</v>
      </c>
      <c r="IM15" s="156"/>
      <c r="IN15" s="155">
        <f>SUM(IN4:IN14)</f>
        <v>1250077</v>
      </c>
      <c r="IO15" s="155">
        <f>SUM(IO4:IO14)</f>
        <v>1349942</v>
      </c>
      <c r="IP15" s="156"/>
      <c r="IQ15" s="155">
        <f>SUM(IQ4:IQ14)</f>
        <v>3779555</v>
      </c>
      <c r="IR15" s="155">
        <f>SUM(IR4:IR14)</f>
        <v>3471504</v>
      </c>
      <c r="IS15" s="156"/>
      <c r="IT15" s="156"/>
      <c r="IU15" s="156"/>
      <c r="IV15" s="156"/>
      <c r="IW15" s="156"/>
      <c r="IX15" s="156"/>
      <c r="IY15" s="156"/>
      <c r="IZ15" s="156"/>
      <c r="JA15" s="156"/>
      <c r="JB15" s="156"/>
      <c r="JC15" s="156"/>
      <c r="JD15" s="156"/>
      <c r="JE15" s="156"/>
      <c r="JF15" s="156"/>
      <c r="JG15" s="156"/>
      <c r="JH15" s="156"/>
      <c r="JI15" s="156"/>
      <c r="JJ15" s="156"/>
      <c r="JK15" s="156"/>
      <c r="JL15" s="156"/>
      <c r="JM15" s="156"/>
      <c r="JN15" s="156"/>
      <c r="JO15" s="156"/>
      <c r="JP15" s="156"/>
      <c r="JQ15" s="156"/>
      <c r="JR15" s="156"/>
      <c r="JS15" s="156"/>
      <c r="JT15" s="156"/>
      <c r="JU15" s="156"/>
      <c r="JV15" s="156"/>
      <c r="JW15" s="156"/>
      <c r="JX15" s="156"/>
      <c r="JY15" s="156"/>
      <c r="JZ15" s="156"/>
      <c r="KA15" s="156"/>
      <c r="KB15" s="156"/>
      <c r="KC15" s="156"/>
      <c r="KD15" s="156"/>
      <c r="KE15" s="156"/>
      <c r="KF15" s="156"/>
      <c r="KG15" s="156"/>
      <c r="KH15" s="156"/>
      <c r="KI15" s="156"/>
      <c r="KJ15" s="156"/>
      <c r="KK15" s="156"/>
      <c r="KL15" s="156"/>
      <c r="KM15" s="156"/>
      <c r="KN15" s="156"/>
      <c r="KO15" s="156"/>
      <c r="KP15" s="156"/>
      <c r="KQ15" s="156"/>
      <c r="KR15" s="156"/>
      <c r="KS15" s="156"/>
      <c r="KT15" s="156"/>
      <c r="KU15" s="156"/>
      <c r="KV15" s="156"/>
      <c r="KW15" s="156"/>
      <c r="KX15" s="156"/>
      <c r="KY15" s="156"/>
      <c r="KZ15" s="156"/>
      <c r="LA15" s="156"/>
      <c r="LB15" s="156"/>
      <c r="LC15" s="156"/>
      <c r="LD15" s="156"/>
      <c r="LE15" s="156"/>
      <c r="LF15" s="156"/>
      <c r="LG15" s="156"/>
      <c r="LH15" s="156"/>
      <c r="LI15" s="156"/>
      <c r="LJ15" s="156"/>
      <c r="LK15" s="156"/>
      <c r="LL15" s="156"/>
      <c r="LM15" s="156"/>
      <c r="LN15" s="156"/>
      <c r="LO15" s="156"/>
      <c r="LP15" s="156"/>
      <c r="LQ15" s="156"/>
      <c r="LR15" s="156"/>
      <c r="LS15" s="156"/>
      <c r="LT15" s="156"/>
      <c r="LU15" s="156"/>
      <c r="LV15" s="156"/>
    </row>
    <row r="16" spans="1:334">
      <c r="C16" s="131"/>
      <c r="D16" s="500"/>
      <c r="F16" s="131"/>
      <c r="G16" s="500"/>
      <c r="U16" s="626"/>
      <c r="X16" s="131"/>
      <c r="Y16" s="500"/>
      <c r="AA16" s="131"/>
      <c r="AB16" s="500"/>
      <c r="AD16" s="131"/>
      <c r="AE16" s="500"/>
      <c r="AG16" s="131"/>
      <c r="AH16" s="500"/>
      <c r="AJ16" s="131"/>
      <c r="AK16" s="500"/>
      <c r="AM16" s="131"/>
      <c r="AN16" s="500"/>
      <c r="AP16" s="131"/>
      <c r="AQ16" s="500"/>
      <c r="AS16" s="131"/>
      <c r="AT16" s="500"/>
      <c r="AV16" s="131"/>
      <c r="AW16" s="500"/>
      <c r="AY16" s="131"/>
      <c r="AZ16" s="500"/>
      <c r="BB16" s="131"/>
      <c r="BC16" s="500"/>
      <c r="BE16" s="131"/>
      <c r="BF16" s="500"/>
      <c r="BH16" s="131"/>
      <c r="BI16" s="500"/>
      <c r="BK16" s="131"/>
      <c r="BL16" s="500"/>
      <c r="BN16" s="131"/>
      <c r="BO16" s="500"/>
      <c r="BQ16" s="131"/>
      <c r="BR16" s="500"/>
      <c r="BT16" s="131"/>
      <c r="BU16" s="500"/>
      <c r="BW16" s="131"/>
      <c r="BX16" s="500"/>
      <c r="BZ16" s="131"/>
      <c r="CA16" s="500"/>
      <c r="CC16" s="131"/>
      <c r="CD16" s="500"/>
      <c r="CF16" s="131"/>
      <c r="CG16" s="500"/>
      <c r="CI16" s="131"/>
      <c r="CJ16" s="500"/>
      <c r="CL16" s="131"/>
      <c r="CM16" s="500"/>
      <c r="CO16" s="131"/>
      <c r="CP16" s="500"/>
      <c r="CR16" s="131"/>
      <c r="CS16" s="500"/>
      <c r="CU16" s="131"/>
      <c r="CV16" s="500"/>
      <c r="CX16" s="131"/>
      <c r="CY16" s="500"/>
      <c r="DA16" s="131"/>
      <c r="DB16" s="500"/>
      <c r="DD16" s="131"/>
      <c r="DE16" s="500"/>
      <c r="DG16" s="131"/>
      <c r="DH16" s="500"/>
      <c r="DJ16" s="131"/>
      <c r="DK16" s="500"/>
      <c r="DP16" s="131"/>
      <c r="DQ16" s="500"/>
      <c r="DV16" s="131"/>
      <c r="DW16" s="500"/>
      <c r="FV16" s="171"/>
      <c r="FW16" s="156"/>
      <c r="FY16" s="171"/>
      <c r="FZ16" s="156"/>
      <c r="GA16" s="156"/>
      <c r="GB16" s="171"/>
      <c r="GC16" s="156"/>
      <c r="GD16" s="156"/>
      <c r="GE16" s="171"/>
      <c r="GF16" s="156"/>
      <c r="GG16" s="156"/>
      <c r="GH16" s="171"/>
      <c r="GI16" s="156"/>
      <c r="GJ16" s="156"/>
      <c r="GK16" s="171"/>
      <c r="GL16" s="156"/>
      <c r="GM16" s="156"/>
      <c r="GN16" s="171"/>
      <c r="GO16" s="156"/>
      <c r="GP16" s="156"/>
      <c r="GQ16" s="171"/>
      <c r="GR16" s="156"/>
      <c r="GS16" s="156"/>
      <c r="GT16" s="156"/>
      <c r="GU16" s="156"/>
      <c r="GV16" s="156"/>
      <c r="GW16" s="171"/>
      <c r="GX16" s="156"/>
      <c r="GY16" s="156"/>
      <c r="GZ16" s="156"/>
      <c r="HA16" s="156"/>
      <c r="HB16" s="156"/>
      <c r="HC16" s="171"/>
      <c r="HD16" s="156"/>
      <c r="HE16" s="156"/>
      <c r="HF16" s="156"/>
      <c r="HG16" s="156"/>
      <c r="HH16" s="156"/>
      <c r="HI16" s="171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  <c r="JB16" s="156"/>
      <c r="JC16" s="156"/>
      <c r="JD16" s="156"/>
      <c r="JE16" s="156"/>
      <c r="JF16" s="156"/>
      <c r="JG16" s="156"/>
      <c r="JH16" s="156"/>
      <c r="JI16" s="156"/>
      <c r="JJ16" s="156"/>
      <c r="JK16" s="156"/>
      <c r="JL16" s="156"/>
      <c r="JM16" s="156"/>
      <c r="JN16" s="156"/>
      <c r="JO16" s="156"/>
      <c r="JP16" s="156"/>
      <c r="JQ16" s="156"/>
      <c r="JR16" s="156"/>
      <c r="JS16" s="156"/>
      <c r="JT16" s="156"/>
      <c r="JU16" s="156"/>
      <c r="JV16" s="156"/>
      <c r="JW16" s="156"/>
      <c r="JX16" s="156"/>
      <c r="JY16" s="156"/>
      <c r="JZ16" s="156"/>
      <c r="KA16" s="156"/>
      <c r="KB16" s="156"/>
      <c r="KC16" s="156"/>
      <c r="KD16" s="156"/>
      <c r="KE16" s="156"/>
      <c r="KF16" s="156"/>
      <c r="KG16" s="156"/>
      <c r="KH16" s="156"/>
      <c r="KI16" s="156"/>
      <c r="KJ16" s="156"/>
      <c r="KK16" s="156"/>
      <c r="KL16" s="156"/>
      <c r="KM16" s="156"/>
      <c r="KN16" s="156"/>
      <c r="KO16" s="156"/>
      <c r="KP16" s="156"/>
      <c r="KQ16" s="156"/>
      <c r="KR16" s="156"/>
      <c r="KS16" s="156"/>
      <c r="KT16" s="156"/>
      <c r="KU16" s="156"/>
      <c r="KV16" s="156"/>
      <c r="KW16" s="156"/>
      <c r="KX16" s="156"/>
      <c r="KY16" s="156"/>
      <c r="KZ16" s="156"/>
      <c r="LA16" s="156"/>
      <c r="LB16" s="156"/>
      <c r="LC16" s="156"/>
      <c r="LD16" s="156"/>
      <c r="LE16" s="156"/>
      <c r="LF16" s="156"/>
      <c r="LG16" s="156"/>
      <c r="LH16" s="156"/>
      <c r="LI16" s="156"/>
      <c r="LJ16" s="156"/>
      <c r="LK16" s="156"/>
      <c r="LL16" s="156"/>
      <c r="LM16" s="156"/>
      <c r="LN16" s="156"/>
      <c r="LO16" s="156"/>
      <c r="LP16" s="156"/>
      <c r="LQ16" s="156"/>
      <c r="LR16" s="156"/>
      <c r="LS16" s="156"/>
      <c r="LT16" s="156"/>
      <c r="LU16" s="156"/>
      <c r="LV16" s="156"/>
    </row>
    <row r="17" spans="178:334">
      <c r="FV17" s="171"/>
      <c r="FW17" s="156"/>
      <c r="FY17" s="171"/>
      <c r="FZ17" s="156"/>
      <c r="GA17" s="156"/>
      <c r="GB17" s="171"/>
      <c r="GC17" s="156"/>
      <c r="GD17" s="156"/>
      <c r="GE17" s="171"/>
      <c r="GF17" s="156"/>
      <c r="GG17" s="156"/>
      <c r="GH17" s="171"/>
      <c r="GI17" s="156"/>
      <c r="GJ17" s="156"/>
      <c r="GK17" s="171"/>
      <c r="GL17" s="156"/>
      <c r="GM17" s="156"/>
      <c r="GN17" s="171"/>
      <c r="GO17" s="156"/>
      <c r="GP17" s="156"/>
      <c r="GQ17" s="171"/>
      <c r="GR17" s="156"/>
      <c r="GS17" s="156"/>
      <c r="GT17" s="156"/>
      <c r="GU17" s="156"/>
      <c r="GV17" s="156"/>
      <c r="GW17" s="171"/>
      <c r="GX17" s="156"/>
      <c r="GY17" s="156"/>
      <c r="GZ17" s="156"/>
      <c r="HA17" s="156"/>
      <c r="HB17" s="156"/>
      <c r="HC17" s="171"/>
      <c r="HD17" s="156"/>
      <c r="HE17" s="156"/>
      <c r="HF17" s="156"/>
      <c r="HG17" s="156"/>
      <c r="HH17" s="156"/>
      <c r="HI17" s="171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8" t="s">
        <v>370</v>
      </c>
      <c r="IH17" s="159" t="s">
        <v>288</v>
      </c>
      <c r="II17" s="159" t="s">
        <v>289</v>
      </c>
      <c r="IJ17" s="156"/>
      <c r="IK17" s="159" t="s">
        <v>290</v>
      </c>
      <c r="IL17" s="159" t="s">
        <v>291</v>
      </c>
      <c r="IM17" s="156"/>
      <c r="IN17" s="159" t="s">
        <v>292</v>
      </c>
      <c r="IO17" s="159" t="s">
        <v>293</v>
      </c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  <c r="JA17" s="156"/>
      <c r="JB17" s="156"/>
      <c r="JC17" s="156"/>
      <c r="JD17" s="156"/>
      <c r="JE17" s="156"/>
      <c r="JF17" s="156"/>
      <c r="JG17" s="156"/>
      <c r="JH17" s="156"/>
      <c r="JI17" s="156"/>
      <c r="JJ17" s="156"/>
      <c r="JK17" s="156"/>
      <c r="JL17" s="156"/>
      <c r="JM17" s="156"/>
      <c r="JN17" s="156"/>
      <c r="JO17" s="156"/>
      <c r="JP17" s="156"/>
      <c r="JQ17" s="156"/>
      <c r="JR17" s="156"/>
      <c r="JS17" s="156"/>
      <c r="JT17" s="156"/>
      <c r="JU17" s="156"/>
      <c r="JV17" s="156"/>
      <c r="JW17" s="156"/>
      <c r="JX17" s="156"/>
      <c r="JY17" s="156"/>
      <c r="JZ17" s="156"/>
      <c r="KA17" s="156"/>
      <c r="KB17" s="156"/>
      <c r="KC17" s="156"/>
      <c r="KD17" s="156"/>
      <c r="KE17" s="156"/>
      <c r="KF17" s="156"/>
      <c r="KG17" s="156"/>
      <c r="KH17" s="156"/>
      <c r="KI17" s="156"/>
      <c r="KJ17" s="156"/>
      <c r="KK17" s="156"/>
      <c r="KL17" s="156"/>
      <c r="KM17" s="156"/>
      <c r="KN17" s="156"/>
      <c r="KO17" s="156"/>
      <c r="KP17" s="156"/>
      <c r="KQ17" s="156"/>
      <c r="KR17" s="156"/>
      <c r="KS17" s="156"/>
      <c r="KT17" s="156"/>
      <c r="KU17" s="156"/>
      <c r="KV17" s="156"/>
      <c r="KW17" s="156"/>
      <c r="KX17" s="156"/>
      <c r="KY17" s="156"/>
      <c r="KZ17" s="156"/>
      <c r="LA17" s="156"/>
      <c r="LB17" s="156"/>
      <c r="LC17" s="156"/>
      <c r="LD17" s="156"/>
      <c r="LE17" s="156"/>
      <c r="LF17" s="156"/>
      <c r="LG17" s="156"/>
      <c r="LH17" s="156"/>
      <c r="LI17" s="156"/>
      <c r="LJ17" s="156"/>
      <c r="LK17" s="156"/>
      <c r="LL17" s="156"/>
      <c r="LM17" s="156"/>
      <c r="LN17" s="156"/>
      <c r="LO17" s="156"/>
      <c r="LP17" s="156"/>
      <c r="LQ17" s="156"/>
      <c r="LR17" s="156"/>
      <c r="LS17" s="156"/>
      <c r="LT17" s="156"/>
      <c r="LU17" s="156"/>
      <c r="LV17" s="156"/>
    </row>
    <row r="18" spans="178:334">
      <c r="FV18" s="171"/>
      <c r="FW18" s="156"/>
      <c r="FY18" s="171"/>
      <c r="FZ18" s="156"/>
      <c r="GA18" s="156"/>
      <c r="GB18" s="171"/>
      <c r="GC18" s="156"/>
      <c r="GD18" s="156"/>
      <c r="GE18" s="171"/>
      <c r="GF18" s="156"/>
      <c r="GG18" s="156"/>
      <c r="GH18" s="171"/>
      <c r="GI18" s="156"/>
      <c r="GJ18" s="156"/>
      <c r="GK18" s="171"/>
      <c r="GL18" s="156"/>
      <c r="GM18" s="156"/>
      <c r="GN18" s="171"/>
      <c r="GO18" s="156"/>
      <c r="GP18" s="156"/>
      <c r="GQ18" s="171"/>
      <c r="GR18" s="156"/>
      <c r="GS18" s="156"/>
      <c r="GT18" s="156"/>
      <c r="GU18" s="156"/>
      <c r="GV18" s="156"/>
      <c r="GW18" s="171"/>
      <c r="GX18" s="156"/>
      <c r="GY18" s="156"/>
      <c r="GZ18" s="156"/>
      <c r="HA18" s="156"/>
      <c r="HB18" s="156"/>
      <c r="HC18" s="171"/>
      <c r="HD18" s="156"/>
      <c r="HE18" s="156"/>
      <c r="HF18" s="156"/>
      <c r="HG18" s="156"/>
      <c r="HH18" s="156"/>
      <c r="HI18" s="171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63" t="s">
        <v>18</v>
      </c>
      <c r="IH18" s="161">
        <v>63753</v>
      </c>
      <c r="II18" s="161">
        <v>83342</v>
      </c>
      <c r="IJ18" s="156"/>
      <c r="IK18" s="161">
        <v>42876</v>
      </c>
      <c r="IL18" s="161">
        <v>57328</v>
      </c>
      <c r="IM18" s="156"/>
      <c r="IN18" s="161">
        <v>38079</v>
      </c>
      <c r="IO18" s="161">
        <v>85570</v>
      </c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  <c r="JA18" s="156"/>
      <c r="JB18" s="156"/>
      <c r="JC18" s="156"/>
      <c r="JD18" s="156"/>
      <c r="JE18" s="156"/>
      <c r="JF18" s="156"/>
      <c r="JG18" s="156"/>
      <c r="JH18" s="156"/>
      <c r="JI18" s="156"/>
      <c r="JJ18" s="156"/>
      <c r="JK18" s="156"/>
      <c r="JL18" s="156"/>
      <c r="JM18" s="156"/>
      <c r="JN18" s="156"/>
      <c r="JO18" s="156"/>
      <c r="JP18" s="156"/>
      <c r="JQ18" s="156"/>
      <c r="JR18" s="156"/>
      <c r="JS18" s="156"/>
      <c r="JT18" s="156"/>
      <c r="JU18" s="156"/>
      <c r="JV18" s="156"/>
      <c r="JW18" s="156"/>
      <c r="JX18" s="156"/>
      <c r="JY18" s="156"/>
      <c r="JZ18" s="156"/>
      <c r="KA18" s="156"/>
      <c r="KB18" s="156"/>
      <c r="KC18" s="156"/>
      <c r="KD18" s="156"/>
      <c r="KE18" s="156"/>
      <c r="KF18" s="156"/>
      <c r="KG18" s="156"/>
      <c r="KH18" s="156"/>
      <c r="KI18" s="156"/>
      <c r="KJ18" s="156"/>
      <c r="KK18" s="156"/>
      <c r="KL18" s="156"/>
      <c r="KM18" s="156"/>
      <c r="KN18" s="156"/>
      <c r="KO18" s="156"/>
      <c r="KP18" s="156"/>
      <c r="KQ18" s="156"/>
      <c r="KR18" s="156"/>
      <c r="KS18" s="156"/>
      <c r="KT18" s="156"/>
      <c r="KU18" s="156"/>
      <c r="KV18" s="156"/>
      <c r="KW18" s="156"/>
      <c r="KX18" s="156"/>
      <c r="KY18" s="156"/>
      <c r="KZ18" s="156"/>
      <c r="LA18" s="156"/>
      <c r="LB18" s="156"/>
      <c r="LC18" s="156"/>
      <c r="LD18" s="156"/>
      <c r="LE18" s="156"/>
      <c r="LF18" s="156"/>
      <c r="LG18" s="156"/>
      <c r="LH18" s="156"/>
      <c r="LI18" s="156"/>
      <c r="LJ18" s="156"/>
      <c r="LK18" s="156"/>
      <c r="LL18" s="156"/>
      <c r="LM18" s="156"/>
      <c r="LN18" s="156"/>
      <c r="LO18" s="156"/>
      <c r="LP18" s="156"/>
      <c r="LQ18" s="156"/>
      <c r="LR18" s="156"/>
      <c r="LS18" s="156"/>
      <c r="LT18" s="156"/>
      <c r="LU18" s="156"/>
      <c r="LV18" s="156"/>
    </row>
    <row r="19" spans="178:334">
      <c r="FV19" s="171"/>
      <c r="FW19" s="156"/>
      <c r="FY19" s="171"/>
      <c r="FZ19" s="156"/>
      <c r="GA19" s="156"/>
      <c r="GB19" s="171"/>
      <c r="GC19" s="156"/>
      <c r="GD19" s="156"/>
      <c r="GE19" s="171"/>
      <c r="GF19" s="156"/>
      <c r="GG19" s="156"/>
      <c r="GH19" s="171"/>
      <c r="GI19" s="156"/>
      <c r="GJ19" s="156"/>
      <c r="GK19" s="171"/>
      <c r="GL19" s="156"/>
      <c r="GM19" s="156"/>
      <c r="GN19" s="171"/>
      <c r="GO19" s="156"/>
      <c r="GP19" s="156"/>
      <c r="GQ19" s="171"/>
      <c r="GR19" s="156"/>
      <c r="GS19" s="156"/>
      <c r="GT19" s="156"/>
      <c r="GU19" s="156"/>
      <c r="GV19" s="156"/>
      <c r="GW19" s="171"/>
      <c r="GX19" s="156"/>
      <c r="GY19" s="156"/>
      <c r="GZ19" s="156"/>
      <c r="HA19" s="156"/>
      <c r="HB19" s="156"/>
      <c r="HC19" s="171"/>
      <c r="HD19" s="156"/>
      <c r="HE19" s="156"/>
      <c r="HF19" s="156"/>
      <c r="HG19" s="156"/>
      <c r="HH19" s="156"/>
      <c r="HI19" s="171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62" t="s">
        <v>19</v>
      </c>
      <c r="IH19" s="155">
        <v>168682</v>
      </c>
      <c r="II19" s="155">
        <v>118223</v>
      </c>
      <c r="IJ19" s="156"/>
      <c r="IK19" s="155">
        <v>108610</v>
      </c>
      <c r="IL19" s="155">
        <v>127955</v>
      </c>
      <c r="IM19" s="156"/>
      <c r="IN19" s="155">
        <v>80950</v>
      </c>
      <c r="IO19" s="155">
        <v>163507</v>
      </c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  <c r="IZ19" s="156"/>
      <c r="JA19" s="156"/>
      <c r="JB19" s="156"/>
      <c r="JC19" s="156"/>
      <c r="JD19" s="156"/>
      <c r="JE19" s="156"/>
      <c r="JF19" s="156"/>
      <c r="JG19" s="156"/>
      <c r="JH19" s="156"/>
      <c r="JI19" s="156"/>
      <c r="JJ19" s="156"/>
      <c r="JK19" s="156"/>
      <c r="JL19" s="156"/>
      <c r="JM19" s="156"/>
      <c r="JN19" s="156"/>
      <c r="JO19" s="156"/>
      <c r="JP19" s="156"/>
      <c r="JQ19" s="156"/>
      <c r="JR19" s="156"/>
      <c r="JS19" s="156"/>
      <c r="JT19" s="156"/>
      <c r="JU19" s="156"/>
      <c r="JV19" s="156"/>
      <c r="JW19" s="156"/>
      <c r="JX19" s="156"/>
      <c r="JY19" s="156"/>
      <c r="JZ19" s="156"/>
      <c r="KA19" s="156"/>
      <c r="KB19" s="156"/>
      <c r="KC19" s="156"/>
      <c r="KD19" s="156"/>
      <c r="KE19" s="156"/>
      <c r="KF19" s="156"/>
      <c r="KG19" s="156"/>
      <c r="KH19" s="156"/>
      <c r="KI19" s="156"/>
      <c r="KJ19" s="156"/>
      <c r="KK19" s="156"/>
      <c r="KL19" s="156"/>
      <c r="KM19" s="156"/>
      <c r="KN19" s="156"/>
      <c r="KO19" s="156"/>
      <c r="KP19" s="156"/>
      <c r="KQ19" s="156"/>
      <c r="KR19" s="156"/>
      <c r="KS19" s="156"/>
      <c r="KT19" s="156"/>
      <c r="KU19" s="156"/>
      <c r="KV19" s="156"/>
      <c r="KW19" s="156"/>
      <c r="KX19" s="156"/>
      <c r="KY19" s="156"/>
      <c r="KZ19" s="156"/>
      <c r="LA19" s="156"/>
      <c r="LB19" s="156"/>
      <c r="LC19" s="156"/>
      <c r="LD19" s="156"/>
      <c r="LE19" s="156"/>
      <c r="LF19" s="156"/>
      <c r="LG19" s="156"/>
      <c r="LH19" s="156"/>
      <c r="LI19" s="156"/>
      <c r="LJ19" s="156"/>
      <c r="LK19" s="156"/>
      <c r="LL19" s="156"/>
      <c r="LM19" s="156"/>
      <c r="LN19" s="156"/>
      <c r="LO19" s="156"/>
      <c r="LP19" s="156"/>
      <c r="LQ19" s="156"/>
      <c r="LR19" s="156"/>
      <c r="LS19" s="156"/>
      <c r="LT19" s="156"/>
      <c r="LU19" s="156"/>
      <c r="LV19" s="156"/>
    </row>
    <row r="20" spans="178:334">
      <c r="FV20" s="171"/>
      <c r="FW20" s="156"/>
      <c r="FY20" s="171"/>
      <c r="FZ20" s="156"/>
      <c r="GA20" s="156"/>
      <c r="GB20" s="171"/>
      <c r="GC20" s="156"/>
      <c r="GD20" s="156"/>
      <c r="GE20" s="171"/>
      <c r="GF20" s="156"/>
      <c r="GG20" s="156"/>
      <c r="GH20" s="171"/>
      <c r="GI20" s="156"/>
      <c r="GJ20" s="156"/>
      <c r="GK20" s="171"/>
      <c r="GL20" s="156"/>
      <c r="GM20" s="156"/>
      <c r="GN20" s="171"/>
      <c r="GO20" s="156"/>
      <c r="GP20" s="156"/>
      <c r="GQ20" s="171"/>
      <c r="GR20" s="156"/>
      <c r="GS20" s="156"/>
      <c r="GT20" s="156"/>
      <c r="GU20" s="156"/>
      <c r="GV20" s="156"/>
      <c r="GW20" s="171"/>
      <c r="GX20" s="156"/>
      <c r="GY20" s="156"/>
      <c r="GZ20" s="156"/>
      <c r="HA20" s="156"/>
      <c r="HB20" s="156"/>
      <c r="HC20" s="171"/>
      <c r="HD20" s="156"/>
      <c r="HE20" s="156"/>
      <c r="HF20" s="156"/>
      <c r="HG20" s="156"/>
      <c r="HH20" s="156"/>
      <c r="HI20" s="171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62" t="s">
        <v>21</v>
      </c>
      <c r="IH20" s="155">
        <v>36167</v>
      </c>
      <c r="II20" s="155">
        <v>168381</v>
      </c>
      <c r="IJ20" s="156"/>
      <c r="IK20" s="155">
        <v>22087</v>
      </c>
      <c r="IL20" s="155">
        <v>190712</v>
      </c>
      <c r="IM20" s="156"/>
      <c r="IN20" s="155">
        <v>14859</v>
      </c>
      <c r="IO20" s="155">
        <v>125306</v>
      </c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  <c r="JB20" s="156"/>
      <c r="JC20" s="156"/>
      <c r="JD20" s="156"/>
      <c r="JE20" s="156"/>
      <c r="JF20" s="156"/>
      <c r="JG20" s="156"/>
      <c r="JH20" s="156"/>
      <c r="JI20" s="156"/>
      <c r="JJ20" s="156"/>
      <c r="JK20" s="156"/>
      <c r="JL20" s="156"/>
      <c r="JM20" s="156"/>
      <c r="JN20" s="156"/>
      <c r="JO20" s="156"/>
      <c r="JP20" s="156"/>
      <c r="JQ20" s="156"/>
      <c r="JR20" s="156"/>
      <c r="JS20" s="156"/>
      <c r="JT20" s="156"/>
      <c r="JU20" s="156"/>
      <c r="JV20" s="156"/>
      <c r="JW20" s="156"/>
      <c r="JX20" s="156"/>
      <c r="JY20" s="156"/>
      <c r="JZ20" s="156"/>
      <c r="KA20" s="156"/>
      <c r="KB20" s="156"/>
      <c r="KC20" s="156"/>
      <c r="KD20" s="156"/>
      <c r="KE20" s="156"/>
      <c r="KF20" s="156"/>
      <c r="KG20" s="156"/>
      <c r="KH20" s="156"/>
      <c r="KI20" s="156"/>
      <c r="KJ20" s="156"/>
      <c r="KK20" s="156"/>
      <c r="KL20" s="156"/>
      <c r="KM20" s="156"/>
      <c r="KN20" s="156"/>
      <c r="KO20" s="156"/>
      <c r="KP20" s="156"/>
      <c r="KQ20" s="156"/>
      <c r="KR20" s="156"/>
      <c r="KS20" s="156"/>
      <c r="KT20" s="156"/>
      <c r="KU20" s="156"/>
      <c r="KV20" s="156"/>
      <c r="KW20" s="156"/>
      <c r="KX20" s="156"/>
      <c r="KY20" s="156"/>
      <c r="KZ20" s="156"/>
      <c r="LA20" s="156"/>
      <c r="LB20" s="156"/>
      <c r="LC20" s="156"/>
      <c r="LD20" s="156"/>
      <c r="LE20" s="156"/>
      <c r="LF20" s="156"/>
      <c r="LG20" s="156"/>
      <c r="LH20" s="156"/>
      <c r="LI20" s="156"/>
      <c r="LJ20" s="156"/>
      <c r="LK20" s="156"/>
      <c r="LL20" s="156"/>
      <c r="LM20" s="156"/>
      <c r="LN20" s="156"/>
      <c r="LO20" s="156"/>
      <c r="LP20" s="156"/>
      <c r="LQ20" s="156"/>
      <c r="LR20" s="156"/>
      <c r="LS20" s="156"/>
      <c r="LT20" s="156"/>
      <c r="LU20" s="156"/>
      <c r="LV20" s="156"/>
    </row>
    <row r="21" spans="178:334" ht="15.5">
      <c r="FV21" s="171"/>
      <c r="FW21" s="156"/>
      <c r="FY21" s="171"/>
      <c r="FZ21" s="156"/>
      <c r="GA21" s="156"/>
      <c r="GB21" s="171"/>
      <c r="GC21" s="156"/>
      <c r="GD21" s="156"/>
      <c r="GE21" s="171"/>
      <c r="GF21" s="156"/>
      <c r="GG21" s="156"/>
      <c r="GH21" s="171"/>
      <c r="GI21" s="156"/>
      <c r="GJ21" s="156"/>
      <c r="GK21" s="171"/>
      <c r="GL21" s="156"/>
      <c r="GM21" s="156"/>
      <c r="GN21" s="171"/>
      <c r="GO21" s="156"/>
      <c r="GP21" s="156"/>
      <c r="GQ21" s="171"/>
      <c r="GR21" s="156"/>
      <c r="GS21" s="156"/>
      <c r="GT21" s="156"/>
      <c r="GU21" s="156"/>
      <c r="GV21" s="156"/>
      <c r="GW21" s="171"/>
      <c r="GX21" s="156"/>
      <c r="GY21" s="156"/>
      <c r="GZ21" s="156"/>
      <c r="HA21" s="156"/>
      <c r="HB21" s="156"/>
      <c r="HC21" s="171"/>
      <c r="HD21" s="156"/>
      <c r="HE21" s="156"/>
      <c r="HF21" s="156"/>
      <c r="HG21" s="156"/>
      <c r="HH21" s="156"/>
      <c r="HI21" s="171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67" t="s">
        <v>23</v>
      </c>
      <c r="IH21" s="155">
        <v>110096</v>
      </c>
      <c r="II21" s="155">
        <v>85910</v>
      </c>
      <c r="IJ21" s="156"/>
      <c r="IK21" s="155">
        <v>127084</v>
      </c>
      <c r="IL21" s="155">
        <v>66159</v>
      </c>
      <c r="IM21" s="156"/>
      <c r="IN21" s="155">
        <v>59329</v>
      </c>
      <c r="IO21" s="155">
        <v>34264</v>
      </c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  <c r="JB21" s="156"/>
      <c r="JC21" s="156"/>
      <c r="JD21" s="156"/>
      <c r="JE21" s="156"/>
      <c r="JF21" s="156"/>
      <c r="JG21" s="156"/>
      <c r="JH21" s="156"/>
      <c r="JI21" s="156"/>
      <c r="JJ21" s="156"/>
      <c r="JK21" s="156"/>
      <c r="JL21" s="156"/>
      <c r="JM21" s="156"/>
      <c r="JN21" s="156"/>
      <c r="JO21" s="156"/>
      <c r="JP21" s="156"/>
      <c r="JQ21" s="156"/>
      <c r="JR21" s="156"/>
      <c r="JS21" s="156"/>
      <c r="JT21" s="156"/>
      <c r="JU21" s="156"/>
      <c r="JV21" s="156"/>
      <c r="JW21" s="156"/>
      <c r="JX21" s="156"/>
      <c r="JY21" s="156"/>
      <c r="JZ21" s="156"/>
      <c r="KA21" s="156"/>
      <c r="KB21" s="156"/>
      <c r="KC21" s="156"/>
      <c r="KD21" s="156"/>
      <c r="KE21" s="156"/>
      <c r="KF21" s="156"/>
      <c r="KG21" s="156"/>
      <c r="KH21" s="156"/>
      <c r="KI21" s="156"/>
      <c r="KJ21" s="156"/>
      <c r="KK21" s="156"/>
      <c r="KL21" s="156"/>
      <c r="KM21" s="156"/>
      <c r="KN21" s="156"/>
      <c r="KO21" s="156"/>
      <c r="KP21" s="156"/>
      <c r="KQ21" s="156"/>
      <c r="KR21" s="156"/>
      <c r="KS21" s="156"/>
      <c r="KT21" s="156"/>
      <c r="KU21" s="156"/>
      <c r="KV21" s="156"/>
      <c r="KW21" s="156"/>
      <c r="KX21" s="156"/>
      <c r="KY21" s="156"/>
      <c r="KZ21" s="156"/>
      <c r="LA21" s="156"/>
      <c r="LB21" s="156"/>
      <c r="LC21" s="156"/>
      <c r="LD21" s="156"/>
      <c r="LE21" s="156"/>
      <c r="LF21" s="156"/>
      <c r="LG21" s="156"/>
      <c r="LH21" s="156"/>
      <c r="LI21" s="156"/>
      <c r="LJ21" s="156"/>
      <c r="LK21" s="156"/>
      <c r="LL21" s="156"/>
      <c r="LM21" s="156"/>
      <c r="LN21" s="156"/>
      <c r="LO21" s="156"/>
      <c r="LP21" s="156"/>
      <c r="LQ21" s="156"/>
      <c r="LR21" s="156"/>
      <c r="LS21" s="156"/>
      <c r="LT21" s="156"/>
      <c r="LU21" s="156"/>
      <c r="LV21" s="156"/>
    </row>
    <row r="22" spans="178:334">
      <c r="FV22" s="171"/>
      <c r="FW22" s="156"/>
      <c r="FY22" s="171"/>
      <c r="FZ22" s="156"/>
      <c r="GA22" s="156"/>
      <c r="GB22" s="171"/>
      <c r="GC22" s="156"/>
      <c r="GD22" s="156"/>
      <c r="GE22" s="171"/>
      <c r="GF22" s="156"/>
      <c r="GG22" s="156"/>
      <c r="GH22" s="171"/>
      <c r="GI22" s="156"/>
      <c r="GJ22" s="156"/>
      <c r="GK22" s="171"/>
      <c r="GL22" s="156"/>
      <c r="GM22" s="156"/>
      <c r="GN22" s="171"/>
      <c r="GO22" s="156"/>
      <c r="GP22" s="156"/>
      <c r="GQ22" s="171"/>
      <c r="GR22" s="156"/>
      <c r="GS22" s="156"/>
      <c r="GT22" s="156"/>
      <c r="GU22" s="156"/>
      <c r="GV22" s="156"/>
      <c r="GW22" s="171"/>
      <c r="GX22" s="156"/>
      <c r="GY22" s="156"/>
      <c r="GZ22" s="156"/>
      <c r="HA22" s="156"/>
      <c r="HB22" s="156"/>
      <c r="HC22" s="171"/>
      <c r="HD22" s="156"/>
      <c r="HE22" s="156"/>
      <c r="HF22" s="156"/>
      <c r="HG22" s="156"/>
      <c r="HH22" s="156"/>
      <c r="HI22" s="171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62" t="s">
        <v>20</v>
      </c>
      <c r="IH22" s="155">
        <v>648958</v>
      </c>
      <c r="II22" s="155">
        <v>888877</v>
      </c>
      <c r="IJ22" s="156"/>
      <c r="IK22" s="155">
        <v>444335</v>
      </c>
      <c r="IL22" s="155">
        <v>557986</v>
      </c>
      <c r="IM22" s="156"/>
      <c r="IN22" s="155">
        <v>461646</v>
      </c>
      <c r="IO22" s="155">
        <v>387828</v>
      </c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  <c r="JA22" s="156"/>
      <c r="JB22" s="156"/>
      <c r="JC22" s="156"/>
      <c r="JD22" s="156"/>
      <c r="JE22" s="156"/>
      <c r="JF22" s="156"/>
      <c r="JG22" s="156"/>
      <c r="JH22" s="156"/>
      <c r="JI22" s="156"/>
      <c r="JJ22" s="156"/>
      <c r="JK22" s="156"/>
      <c r="JL22" s="156"/>
      <c r="JM22" s="156"/>
      <c r="JN22" s="156"/>
      <c r="JO22" s="156"/>
      <c r="JP22" s="156"/>
      <c r="JQ22" s="156"/>
      <c r="JR22" s="156"/>
      <c r="JS22" s="156"/>
      <c r="JT22" s="156"/>
      <c r="JU22" s="156"/>
      <c r="JV22" s="156"/>
      <c r="JW22" s="156"/>
      <c r="JX22" s="156"/>
      <c r="JY22" s="156"/>
      <c r="JZ22" s="156"/>
      <c r="KA22" s="156"/>
      <c r="KB22" s="156"/>
      <c r="KC22" s="156"/>
      <c r="KD22" s="156"/>
      <c r="KE22" s="156"/>
      <c r="KF22" s="156"/>
      <c r="KG22" s="156"/>
      <c r="KH22" s="156"/>
      <c r="KI22" s="156"/>
      <c r="KJ22" s="156"/>
      <c r="KK22" s="156"/>
      <c r="KL22" s="156"/>
      <c r="KM22" s="156"/>
      <c r="KN22" s="156"/>
      <c r="KO22" s="156"/>
      <c r="KP22" s="156"/>
      <c r="KQ22" s="156"/>
      <c r="KR22" s="156"/>
      <c r="KS22" s="156"/>
      <c r="KT22" s="156"/>
      <c r="KU22" s="156"/>
      <c r="KV22" s="156"/>
      <c r="KW22" s="156"/>
      <c r="KX22" s="156"/>
      <c r="KY22" s="156"/>
      <c r="KZ22" s="156"/>
      <c r="LA22" s="156"/>
      <c r="LB22" s="156"/>
      <c r="LC22" s="156"/>
      <c r="LD22" s="156"/>
      <c r="LE22" s="156"/>
      <c r="LF22" s="156"/>
      <c r="LG22" s="156"/>
      <c r="LH22" s="156"/>
      <c r="LI22" s="156"/>
      <c r="LJ22" s="156"/>
      <c r="LK22" s="156"/>
      <c r="LL22" s="156"/>
      <c r="LM22" s="156"/>
      <c r="LN22" s="156"/>
      <c r="LO22" s="156"/>
      <c r="LP22" s="156"/>
      <c r="LQ22" s="156"/>
      <c r="LR22" s="156"/>
      <c r="LS22" s="156"/>
      <c r="LT22" s="156"/>
      <c r="LU22" s="156"/>
      <c r="LV22" s="156"/>
    </row>
    <row r="23" spans="178:334">
      <c r="FV23" s="171"/>
      <c r="FW23" s="156"/>
      <c r="FY23" s="171"/>
      <c r="FZ23" s="156"/>
      <c r="GA23" s="156"/>
      <c r="GB23" s="171"/>
      <c r="GC23" s="156"/>
      <c r="GD23" s="156"/>
      <c r="GE23" s="171"/>
      <c r="GF23" s="156"/>
      <c r="GG23" s="156"/>
      <c r="GH23" s="171"/>
      <c r="GI23" s="156"/>
      <c r="GJ23" s="156"/>
      <c r="GK23" s="171"/>
      <c r="GL23" s="156"/>
      <c r="GM23" s="156"/>
      <c r="GN23" s="171"/>
      <c r="GO23" s="156"/>
      <c r="GP23" s="156"/>
      <c r="GQ23" s="171"/>
      <c r="GR23" s="156"/>
      <c r="GS23" s="156"/>
      <c r="GT23" s="156"/>
      <c r="GU23" s="156"/>
      <c r="GV23" s="156"/>
      <c r="GW23" s="171"/>
      <c r="GX23" s="156"/>
      <c r="GY23" s="156"/>
      <c r="GZ23" s="156"/>
      <c r="HA23" s="156"/>
      <c r="HB23" s="156"/>
      <c r="HC23" s="171"/>
      <c r="HD23" s="156"/>
      <c r="HE23" s="156"/>
      <c r="HF23" s="156"/>
      <c r="HG23" s="156"/>
      <c r="HH23" s="156"/>
      <c r="HI23" s="171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62" t="s">
        <v>22</v>
      </c>
      <c r="IH23" s="155">
        <v>3719</v>
      </c>
      <c r="II23" s="155">
        <v>6337</v>
      </c>
      <c r="IJ23" s="156"/>
      <c r="IK23" s="155">
        <v>1408</v>
      </c>
      <c r="IL23" s="155">
        <v>3900</v>
      </c>
      <c r="IM23" s="156"/>
      <c r="IN23" s="155">
        <v>689</v>
      </c>
      <c r="IO23" s="155">
        <v>5851</v>
      </c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  <c r="JB23" s="156"/>
      <c r="JC23" s="156"/>
      <c r="JD23" s="156"/>
      <c r="JE23" s="156"/>
      <c r="JF23" s="156"/>
      <c r="JG23" s="156"/>
      <c r="JH23" s="156"/>
      <c r="JI23" s="156"/>
      <c r="JJ23" s="156"/>
      <c r="JK23" s="156"/>
      <c r="JL23" s="156"/>
      <c r="JM23" s="156"/>
      <c r="JN23" s="156"/>
      <c r="JO23" s="156"/>
      <c r="JP23" s="156"/>
      <c r="JQ23" s="156"/>
      <c r="JR23" s="156"/>
      <c r="JS23" s="156"/>
      <c r="JT23" s="156"/>
      <c r="JU23" s="156"/>
      <c r="JV23" s="156"/>
      <c r="JW23" s="156"/>
      <c r="JX23" s="156"/>
      <c r="JY23" s="156"/>
      <c r="JZ23" s="156"/>
      <c r="KA23" s="156"/>
      <c r="KB23" s="156"/>
      <c r="KC23" s="156"/>
      <c r="KD23" s="156"/>
      <c r="KE23" s="156"/>
      <c r="KF23" s="156"/>
      <c r="KG23" s="156"/>
      <c r="KH23" s="156"/>
      <c r="KI23" s="156"/>
      <c r="KJ23" s="156"/>
      <c r="KK23" s="156"/>
      <c r="KL23" s="156"/>
      <c r="KM23" s="156"/>
      <c r="KN23" s="156"/>
      <c r="KO23" s="156"/>
      <c r="KP23" s="156"/>
      <c r="KQ23" s="156"/>
      <c r="KR23" s="156"/>
      <c r="KS23" s="156"/>
      <c r="KT23" s="156"/>
      <c r="KU23" s="156"/>
      <c r="KV23" s="156"/>
      <c r="KW23" s="156"/>
      <c r="KX23" s="156"/>
      <c r="KY23" s="156"/>
      <c r="KZ23" s="156"/>
      <c r="LA23" s="156"/>
      <c r="LB23" s="156"/>
      <c r="LC23" s="156"/>
      <c r="LD23" s="156"/>
      <c r="LE23" s="156"/>
      <c r="LF23" s="156"/>
      <c r="LG23" s="156"/>
      <c r="LH23" s="156"/>
      <c r="LI23" s="156"/>
      <c r="LJ23" s="156"/>
      <c r="LK23" s="156"/>
      <c r="LL23" s="156"/>
      <c r="LM23" s="156"/>
      <c r="LN23" s="156"/>
      <c r="LO23" s="156"/>
      <c r="LP23" s="156"/>
      <c r="LQ23" s="156"/>
      <c r="LR23" s="156"/>
      <c r="LS23" s="156"/>
      <c r="LT23" s="156"/>
      <c r="LU23" s="156"/>
      <c r="LV23" s="156"/>
    </row>
    <row r="24" spans="178:334">
      <c r="FV24" s="171"/>
      <c r="FW24" s="156"/>
      <c r="FY24" s="171"/>
      <c r="FZ24" s="156"/>
      <c r="GA24" s="156"/>
      <c r="GB24" s="171"/>
      <c r="GC24" s="156"/>
      <c r="GD24" s="156"/>
      <c r="GE24" s="171"/>
      <c r="GF24" s="156"/>
      <c r="GG24" s="156"/>
      <c r="GH24" s="171"/>
      <c r="GI24" s="156"/>
      <c r="GJ24" s="156"/>
      <c r="GK24" s="171"/>
      <c r="GL24" s="156"/>
      <c r="GM24" s="156"/>
      <c r="GN24" s="171"/>
      <c r="GO24" s="156"/>
      <c r="GP24" s="156"/>
      <c r="GQ24" s="171"/>
      <c r="GR24" s="156"/>
      <c r="GS24" s="156"/>
      <c r="GT24" s="156"/>
      <c r="GU24" s="156"/>
      <c r="GV24" s="156"/>
      <c r="GW24" s="171"/>
      <c r="GX24" s="156"/>
      <c r="GY24" s="156"/>
      <c r="GZ24" s="156"/>
      <c r="HA24" s="156"/>
      <c r="HB24" s="156"/>
      <c r="HC24" s="171"/>
      <c r="HD24" s="156"/>
      <c r="HE24" s="156"/>
      <c r="HF24" s="156"/>
      <c r="HG24" s="156"/>
      <c r="HH24" s="156"/>
      <c r="HI24" s="171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62" t="s">
        <v>25</v>
      </c>
      <c r="IH24" s="155">
        <v>43982</v>
      </c>
      <c r="II24" s="155">
        <v>57530</v>
      </c>
      <c r="IJ24" s="156"/>
      <c r="IK24" s="155">
        <v>12124</v>
      </c>
      <c r="IL24" s="155">
        <v>12566</v>
      </c>
      <c r="IM24" s="156"/>
      <c r="IN24" s="155">
        <v>27375</v>
      </c>
      <c r="IO24" s="155">
        <v>5941</v>
      </c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  <c r="JA24" s="156"/>
      <c r="JB24" s="156"/>
      <c r="JC24" s="156"/>
      <c r="JD24" s="156"/>
      <c r="JE24" s="156"/>
      <c r="JF24" s="156"/>
      <c r="JG24" s="156"/>
      <c r="JH24" s="156"/>
      <c r="JI24" s="156"/>
      <c r="JJ24" s="156"/>
      <c r="JK24" s="156"/>
      <c r="JL24" s="156"/>
      <c r="JM24" s="156"/>
      <c r="JN24" s="156"/>
      <c r="JO24" s="156"/>
      <c r="JP24" s="156"/>
      <c r="JQ24" s="156"/>
      <c r="JR24" s="156"/>
      <c r="JS24" s="156"/>
      <c r="JT24" s="156"/>
      <c r="JU24" s="156"/>
      <c r="JV24" s="156"/>
      <c r="JW24" s="156"/>
      <c r="JX24" s="156"/>
      <c r="JY24" s="156"/>
      <c r="JZ24" s="156"/>
      <c r="KA24" s="156"/>
      <c r="KB24" s="156"/>
      <c r="KC24" s="156"/>
      <c r="KD24" s="156"/>
      <c r="KE24" s="156"/>
      <c r="KF24" s="156"/>
      <c r="KG24" s="156"/>
      <c r="KH24" s="156"/>
      <c r="KI24" s="156"/>
      <c r="KJ24" s="156"/>
      <c r="KK24" s="156"/>
      <c r="KL24" s="156"/>
      <c r="KM24" s="156"/>
      <c r="KN24" s="156"/>
      <c r="KO24" s="156"/>
      <c r="KP24" s="156"/>
      <c r="KQ24" s="156"/>
      <c r="KR24" s="156"/>
      <c r="KS24" s="156"/>
      <c r="KT24" s="156"/>
      <c r="KU24" s="156"/>
      <c r="KV24" s="156"/>
      <c r="KW24" s="156"/>
      <c r="KX24" s="156"/>
      <c r="KY24" s="156"/>
      <c r="KZ24" s="156"/>
      <c r="LA24" s="156"/>
      <c r="LB24" s="156"/>
      <c r="LC24" s="156"/>
      <c r="LD24" s="156"/>
      <c r="LE24" s="156"/>
      <c r="LF24" s="156"/>
      <c r="LG24" s="156"/>
      <c r="LH24" s="156"/>
      <c r="LI24" s="156"/>
      <c r="LJ24" s="156"/>
      <c r="LK24" s="156"/>
      <c r="LL24" s="156"/>
      <c r="LM24" s="156"/>
      <c r="LN24" s="156"/>
      <c r="LO24" s="156"/>
      <c r="LP24" s="156"/>
      <c r="LQ24" s="156"/>
      <c r="LR24" s="156"/>
      <c r="LS24" s="156"/>
      <c r="LT24" s="156"/>
      <c r="LU24" s="156"/>
      <c r="LV24" s="156"/>
    </row>
    <row r="25" spans="178:334">
      <c r="FV25" s="171"/>
      <c r="FW25" s="156"/>
      <c r="FY25" s="171"/>
      <c r="FZ25" s="156"/>
      <c r="GA25" s="156"/>
      <c r="GB25" s="171"/>
      <c r="GC25" s="156"/>
      <c r="GD25" s="156"/>
      <c r="GE25" s="171"/>
      <c r="GF25" s="156"/>
      <c r="GG25" s="156"/>
      <c r="GH25" s="171"/>
      <c r="GI25" s="156"/>
      <c r="GJ25" s="156"/>
      <c r="GK25" s="171"/>
      <c r="GL25" s="156"/>
      <c r="GM25" s="156"/>
      <c r="GN25" s="171"/>
      <c r="GO25" s="156"/>
      <c r="GP25" s="156"/>
      <c r="GQ25" s="171"/>
      <c r="GR25" s="156"/>
      <c r="GS25" s="156"/>
      <c r="GT25" s="156"/>
      <c r="GU25" s="156"/>
      <c r="GV25" s="156"/>
      <c r="GW25" s="171"/>
      <c r="GX25" s="156"/>
      <c r="GY25" s="156"/>
      <c r="GZ25" s="156"/>
      <c r="HA25" s="156"/>
      <c r="HB25" s="156"/>
      <c r="HC25" s="171"/>
      <c r="HD25" s="156"/>
      <c r="HE25" s="156"/>
      <c r="HF25" s="156"/>
      <c r="HG25" s="156"/>
      <c r="HH25" s="156"/>
      <c r="HI25" s="171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72" t="s">
        <v>24</v>
      </c>
      <c r="IH25" s="155">
        <v>4031</v>
      </c>
      <c r="II25" s="169">
        <v>2562</v>
      </c>
      <c r="IJ25" s="156"/>
      <c r="IK25" s="169">
        <v>1603</v>
      </c>
      <c r="IL25" s="169">
        <v>1845</v>
      </c>
      <c r="IM25" s="156"/>
      <c r="IN25" s="174">
        <v>1840</v>
      </c>
      <c r="IO25" s="174">
        <v>820</v>
      </c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  <c r="JA25" s="156"/>
      <c r="JB25" s="156"/>
      <c r="JC25" s="156"/>
      <c r="JD25" s="156"/>
      <c r="JE25" s="156"/>
      <c r="JF25" s="156"/>
      <c r="JG25" s="156"/>
      <c r="JH25" s="156"/>
      <c r="JI25" s="156"/>
      <c r="JJ25" s="156"/>
      <c r="JK25" s="156"/>
      <c r="JL25" s="156"/>
      <c r="JM25" s="156"/>
      <c r="JN25" s="156"/>
      <c r="JO25" s="156"/>
      <c r="JP25" s="156"/>
      <c r="JQ25" s="156"/>
      <c r="JR25" s="156"/>
      <c r="JS25" s="156"/>
      <c r="JT25" s="156"/>
      <c r="JU25" s="156"/>
      <c r="JV25" s="156"/>
      <c r="JW25" s="156"/>
      <c r="JX25" s="156"/>
      <c r="JY25" s="156"/>
      <c r="JZ25" s="156"/>
      <c r="KA25" s="156"/>
      <c r="KB25" s="156"/>
      <c r="KC25" s="156"/>
      <c r="KD25" s="156"/>
      <c r="KE25" s="156"/>
      <c r="KF25" s="156"/>
      <c r="KG25" s="156"/>
      <c r="KH25" s="156"/>
      <c r="KI25" s="156"/>
      <c r="KJ25" s="156"/>
      <c r="KK25" s="156"/>
      <c r="KL25" s="156"/>
      <c r="KM25" s="156"/>
      <c r="KN25" s="156"/>
      <c r="KO25" s="156"/>
      <c r="KP25" s="156"/>
      <c r="KQ25" s="156"/>
      <c r="KR25" s="156"/>
      <c r="KS25" s="156"/>
      <c r="KT25" s="156"/>
      <c r="KU25" s="156"/>
      <c r="KV25" s="156"/>
      <c r="KW25" s="156"/>
      <c r="KX25" s="156"/>
      <c r="KY25" s="156"/>
      <c r="KZ25" s="156"/>
      <c r="LA25" s="156"/>
      <c r="LB25" s="156"/>
      <c r="LC25" s="156"/>
      <c r="LD25" s="156"/>
      <c r="LE25" s="156"/>
      <c r="LF25" s="156"/>
      <c r="LG25" s="156"/>
      <c r="LH25" s="156"/>
      <c r="LI25" s="156"/>
      <c r="LJ25" s="156"/>
      <c r="LK25" s="156"/>
      <c r="LL25" s="156"/>
      <c r="LM25" s="156"/>
      <c r="LN25" s="156"/>
      <c r="LO25" s="156"/>
      <c r="LP25" s="156"/>
      <c r="LQ25" s="156"/>
      <c r="LR25" s="156"/>
      <c r="LS25" s="156"/>
      <c r="LT25" s="156"/>
      <c r="LU25" s="156"/>
      <c r="LV25" s="156"/>
    </row>
    <row r="26" spans="178:334">
      <c r="FV26" s="171"/>
      <c r="FW26" s="156"/>
      <c r="FY26" s="171"/>
      <c r="FZ26" s="156"/>
      <c r="GA26" s="156"/>
      <c r="GB26" s="171"/>
      <c r="GC26" s="156"/>
      <c r="GD26" s="156"/>
      <c r="GE26" s="171"/>
      <c r="GF26" s="156"/>
      <c r="GG26" s="156"/>
      <c r="GH26" s="171"/>
      <c r="GI26" s="156"/>
      <c r="GJ26" s="156"/>
      <c r="GK26" s="171"/>
      <c r="GL26" s="156"/>
      <c r="GM26" s="156"/>
      <c r="GN26" s="171"/>
      <c r="GO26" s="156"/>
      <c r="GP26" s="156"/>
      <c r="GQ26" s="171"/>
      <c r="GR26" s="156"/>
      <c r="GS26" s="156"/>
      <c r="GT26" s="156"/>
      <c r="GU26" s="156"/>
      <c r="GV26" s="156"/>
      <c r="GW26" s="171"/>
      <c r="GX26" s="156"/>
      <c r="GY26" s="156"/>
      <c r="GZ26" s="156"/>
      <c r="HA26" s="156"/>
      <c r="HB26" s="156"/>
      <c r="HC26" s="171"/>
      <c r="HD26" s="156"/>
      <c r="HE26" s="156"/>
      <c r="HF26" s="156"/>
      <c r="HG26" s="156"/>
      <c r="HH26" s="156"/>
      <c r="HI26" s="171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8"/>
      <c r="IH26" s="175">
        <f>SUM(IH18:IH25)</f>
        <v>1079388</v>
      </c>
      <c r="II26" s="175">
        <f>SUM(II18:II25)</f>
        <v>1411162</v>
      </c>
      <c r="IJ26" s="156"/>
      <c r="IK26" s="175">
        <f>SUM(IK18:IK25)</f>
        <v>760127</v>
      </c>
      <c r="IL26" s="175">
        <f>SUM(IL18:IL25)</f>
        <v>1018451</v>
      </c>
      <c r="IM26" s="156"/>
      <c r="IN26" s="175">
        <f>SUM(IN18:IN25)</f>
        <v>684767</v>
      </c>
      <c r="IO26" s="175">
        <f>SUM(IO18:IO25)</f>
        <v>809087</v>
      </c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  <c r="JA26" s="156"/>
      <c r="JB26" s="156"/>
      <c r="JC26" s="156"/>
      <c r="JD26" s="156"/>
      <c r="JE26" s="156"/>
      <c r="JF26" s="156"/>
      <c r="JG26" s="156"/>
      <c r="JH26" s="156"/>
      <c r="JI26" s="156"/>
      <c r="JJ26" s="156"/>
      <c r="JK26" s="156"/>
      <c r="JL26" s="156"/>
      <c r="JM26" s="156"/>
      <c r="JN26" s="156"/>
      <c r="JO26" s="156"/>
      <c r="JP26" s="156"/>
      <c r="JQ26" s="156"/>
      <c r="JR26" s="156"/>
      <c r="JS26" s="156"/>
      <c r="JT26" s="156"/>
      <c r="JU26" s="156"/>
      <c r="JV26" s="156"/>
      <c r="JW26" s="156"/>
      <c r="JX26" s="156"/>
      <c r="JY26" s="156"/>
      <c r="JZ26" s="156"/>
      <c r="KA26" s="156"/>
      <c r="KB26" s="156"/>
      <c r="KC26" s="156"/>
      <c r="KD26" s="156"/>
      <c r="KE26" s="156"/>
      <c r="KF26" s="156"/>
      <c r="KG26" s="156"/>
      <c r="KH26" s="156"/>
      <c r="KI26" s="156"/>
      <c r="KJ26" s="156"/>
      <c r="KK26" s="156"/>
      <c r="KL26" s="156"/>
      <c r="KM26" s="156"/>
      <c r="KN26" s="156"/>
      <c r="KO26" s="156"/>
      <c r="KP26" s="156"/>
      <c r="KQ26" s="156"/>
      <c r="KR26" s="156"/>
      <c r="KS26" s="156"/>
      <c r="KT26" s="156"/>
      <c r="KU26" s="156"/>
      <c r="KV26" s="156"/>
      <c r="KW26" s="156"/>
      <c r="KX26" s="156"/>
      <c r="KY26" s="156"/>
      <c r="KZ26" s="156"/>
      <c r="LA26" s="156"/>
      <c r="LB26" s="156"/>
      <c r="LC26" s="156"/>
      <c r="LD26" s="156"/>
      <c r="LE26" s="156"/>
      <c r="LF26" s="156"/>
      <c r="LG26" s="156"/>
      <c r="LH26" s="156"/>
      <c r="LI26" s="156"/>
      <c r="LJ26" s="156"/>
      <c r="LK26" s="156"/>
      <c r="LL26" s="156"/>
      <c r="LM26" s="156"/>
      <c r="LN26" s="156"/>
      <c r="LO26" s="156"/>
      <c r="LP26" s="156"/>
      <c r="LQ26" s="156"/>
      <c r="LR26" s="156"/>
      <c r="LS26" s="156"/>
      <c r="LT26" s="156"/>
      <c r="LU26" s="156"/>
      <c r="LV26" s="156"/>
    </row>
    <row r="27" spans="178:334">
      <c r="FV27" s="171"/>
      <c r="FW27" s="156"/>
      <c r="FY27" s="171"/>
      <c r="FZ27" s="156"/>
      <c r="GA27" s="156"/>
      <c r="GB27" s="171"/>
      <c r="GC27" s="156"/>
      <c r="GD27" s="156"/>
      <c r="GE27" s="171"/>
      <c r="GF27" s="156"/>
      <c r="GG27" s="156"/>
      <c r="GH27" s="171"/>
      <c r="GI27" s="156"/>
      <c r="GJ27" s="156"/>
      <c r="GK27" s="171"/>
      <c r="GL27" s="156"/>
      <c r="GM27" s="156"/>
      <c r="GN27" s="171"/>
      <c r="GO27" s="156"/>
      <c r="GP27" s="156"/>
      <c r="GQ27" s="171"/>
      <c r="GR27" s="156"/>
      <c r="GS27" s="156"/>
      <c r="GT27" s="156"/>
      <c r="GU27" s="156"/>
      <c r="GV27" s="156"/>
      <c r="GW27" s="171"/>
      <c r="GX27" s="156"/>
      <c r="GY27" s="156"/>
      <c r="GZ27" s="156"/>
      <c r="HA27" s="156"/>
      <c r="HB27" s="156"/>
      <c r="HC27" s="171"/>
      <c r="HD27" s="156"/>
      <c r="HE27" s="156"/>
      <c r="HF27" s="156"/>
      <c r="HG27" s="156"/>
      <c r="HH27" s="156"/>
      <c r="HI27" s="171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  <c r="JA27" s="156"/>
      <c r="JB27" s="156"/>
      <c r="JC27" s="156"/>
      <c r="JD27" s="156"/>
      <c r="JE27" s="156"/>
      <c r="JF27" s="156"/>
      <c r="JG27" s="156"/>
      <c r="JH27" s="156"/>
      <c r="JI27" s="156"/>
      <c r="JJ27" s="156"/>
      <c r="JK27" s="156"/>
      <c r="JL27" s="156"/>
      <c r="JM27" s="156"/>
      <c r="JN27" s="156"/>
      <c r="JO27" s="156"/>
      <c r="JP27" s="156"/>
      <c r="JQ27" s="156"/>
      <c r="JR27" s="156"/>
      <c r="JS27" s="156"/>
      <c r="JT27" s="156"/>
      <c r="JU27" s="156"/>
      <c r="JV27" s="156"/>
      <c r="JW27" s="156"/>
      <c r="JX27" s="156"/>
      <c r="JY27" s="156"/>
      <c r="JZ27" s="156"/>
      <c r="KA27" s="156"/>
      <c r="KB27" s="156"/>
      <c r="KC27" s="156"/>
      <c r="KD27" s="156"/>
      <c r="KE27" s="156"/>
      <c r="KF27" s="156"/>
      <c r="KG27" s="156"/>
      <c r="KH27" s="156"/>
      <c r="KI27" s="156"/>
      <c r="KJ27" s="156"/>
      <c r="KK27" s="156"/>
      <c r="KL27" s="156"/>
      <c r="KM27" s="156"/>
      <c r="KN27" s="156"/>
      <c r="KO27" s="156"/>
      <c r="KP27" s="156"/>
      <c r="KQ27" s="156"/>
      <c r="KR27" s="156"/>
      <c r="KS27" s="156"/>
      <c r="KT27" s="156"/>
      <c r="KU27" s="156"/>
      <c r="KV27" s="156"/>
      <c r="KW27" s="156"/>
      <c r="KX27" s="156"/>
      <c r="KY27" s="156"/>
      <c r="KZ27" s="156"/>
      <c r="LA27" s="156"/>
      <c r="LB27" s="156"/>
      <c r="LC27" s="156"/>
      <c r="LD27" s="156"/>
      <c r="LE27" s="156"/>
      <c r="LF27" s="156"/>
      <c r="LG27" s="156"/>
      <c r="LH27" s="156"/>
      <c r="LI27" s="156"/>
      <c r="LJ27" s="156"/>
      <c r="LK27" s="156"/>
      <c r="LL27" s="156"/>
      <c r="LM27" s="156"/>
      <c r="LN27" s="156"/>
      <c r="LO27" s="156"/>
      <c r="LP27" s="156"/>
      <c r="LQ27" s="156"/>
      <c r="LR27" s="156"/>
      <c r="LS27" s="156"/>
      <c r="LT27" s="156"/>
      <c r="LU27" s="156"/>
      <c r="LV27" s="156"/>
    </row>
    <row r="28" spans="178:334">
      <c r="FV28" s="171"/>
      <c r="FW28" s="156"/>
      <c r="FY28" s="171"/>
      <c r="FZ28" s="156"/>
      <c r="GA28" s="156"/>
      <c r="GB28" s="171"/>
      <c r="GC28" s="156"/>
      <c r="GD28" s="156"/>
      <c r="GE28" s="171"/>
      <c r="GF28" s="156"/>
      <c r="GG28" s="156"/>
      <c r="GH28" s="171"/>
      <c r="GI28" s="156"/>
      <c r="GJ28" s="156"/>
      <c r="GK28" s="171"/>
      <c r="GL28" s="156"/>
      <c r="GM28" s="156"/>
      <c r="GN28" s="171"/>
      <c r="GO28" s="156"/>
      <c r="GP28" s="156"/>
      <c r="GQ28" s="171"/>
      <c r="GR28" s="156"/>
      <c r="GS28" s="156"/>
      <c r="GT28" s="156"/>
      <c r="GU28" s="156"/>
      <c r="GV28" s="156"/>
      <c r="GW28" s="171"/>
      <c r="GX28" s="156"/>
      <c r="GY28" s="156"/>
      <c r="GZ28" s="156"/>
      <c r="HA28" s="156"/>
      <c r="HB28" s="156"/>
      <c r="HC28" s="171"/>
      <c r="HD28" s="156"/>
      <c r="HE28" s="156"/>
      <c r="HF28" s="156"/>
      <c r="HG28" s="156"/>
      <c r="HH28" s="156"/>
      <c r="HI28" s="171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  <c r="JA28" s="156"/>
      <c r="JB28" s="156"/>
      <c r="JC28" s="156"/>
      <c r="JD28" s="156"/>
      <c r="JE28" s="156"/>
      <c r="JF28" s="156"/>
      <c r="JG28" s="156"/>
      <c r="JH28" s="156"/>
      <c r="JI28" s="156"/>
      <c r="JJ28" s="156"/>
      <c r="JK28" s="156"/>
      <c r="JL28" s="156"/>
      <c r="JM28" s="156"/>
      <c r="JN28" s="156"/>
      <c r="JO28" s="156"/>
      <c r="JP28" s="156"/>
      <c r="JQ28" s="156"/>
      <c r="JR28" s="156"/>
      <c r="JS28" s="156"/>
      <c r="JT28" s="156"/>
      <c r="JU28" s="156"/>
      <c r="JV28" s="156"/>
      <c r="JW28" s="156"/>
      <c r="JX28" s="156"/>
      <c r="JY28" s="156"/>
      <c r="JZ28" s="156"/>
      <c r="KA28" s="156"/>
      <c r="KB28" s="156"/>
      <c r="KC28" s="156"/>
      <c r="KD28" s="156"/>
      <c r="KE28" s="156"/>
      <c r="KF28" s="156"/>
      <c r="KG28" s="156"/>
      <c r="KH28" s="156"/>
      <c r="KI28" s="156"/>
      <c r="KJ28" s="156"/>
      <c r="KK28" s="156"/>
      <c r="KL28" s="156"/>
      <c r="KM28" s="156"/>
      <c r="KN28" s="156"/>
      <c r="KO28" s="156"/>
      <c r="KP28" s="156"/>
      <c r="KQ28" s="156"/>
      <c r="KR28" s="156"/>
      <c r="KS28" s="156"/>
      <c r="KT28" s="156"/>
      <c r="KU28" s="156"/>
      <c r="KV28" s="156"/>
      <c r="KW28" s="156"/>
      <c r="KX28" s="156"/>
      <c r="KY28" s="156"/>
      <c r="KZ28" s="156"/>
      <c r="LA28" s="156"/>
      <c r="LB28" s="156"/>
      <c r="LC28" s="156"/>
      <c r="LD28" s="156"/>
      <c r="LE28" s="156"/>
      <c r="LF28" s="156"/>
      <c r="LG28" s="156"/>
      <c r="LH28" s="156"/>
      <c r="LI28" s="156"/>
      <c r="LJ28" s="156"/>
      <c r="LK28" s="156"/>
      <c r="LL28" s="156"/>
      <c r="LM28" s="156"/>
      <c r="LN28" s="156"/>
      <c r="LO28" s="156"/>
      <c r="LP28" s="156"/>
      <c r="LQ28" s="156"/>
      <c r="LR28" s="156"/>
      <c r="LS28" s="156"/>
      <c r="LT28" s="156"/>
      <c r="LU28" s="156"/>
      <c r="LV28" s="156"/>
    </row>
    <row r="29" spans="178:334">
      <c r="FV29" s="171"/>
      <c r="FW29" s="156"/>
      <c r="FY29" s="171"/>
      <c r="FZ29" s="156"/>
      <c r="GA29" s="156"/>
      <c r="GB29" s="171"/>
      <c r="GC29" s="156"/>
      <c r="GD29" s="156"/>
      <c r="GE29" s="171"/>
      <c r="GF29" s="156"/>
      <c r="GG29" s="156"/>
      <c r="GH29" s="171"/>
      <c r="GI29" s="156"/>
      <c r="GJ29" s="156"/>
      <c r="GK29" s="171"/>
      <c r="GL29" s="156"/>
      <c r="GM29" s="156"/>
      <c r="GN29" s="171"/>
      <c r="GO29" s="156"/>
      <c r="GP29" s="156"/>
      <c r="GQ29" s="171"/>
      <c r="GR29" s="156"/>
      <c r="GS29" s="156"/>
      <c r="GT29" s="156"/>
      <c r="GU29" s="156"/>
      <c r="GV29" s="156"/>
      <c r="GW29" s="171"/>
      <c r="GX29" s="156"/>
      <c r="GY29" s="156"/>
      <c r="GZ29" s="156"/>
      <c r="HA29" s="156"/>
      <c r="HB29" s="156"/>
      <c r="HC29" s="171"/>
      <c r="HD29" s="156"/>
      <c r="HE29" s="156"/>
      <c r="HF29" s="156"/>
      <c r="HG29" s="156"/>
      <c r="HH29" s="156"/>
      <c r="HI29" s="171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  <c r="JA29" s="156"/>
      <c r="JB29" s="156"/>
      <c r="JC29" s="156"/>
      <c r="JD29" s="156"/>
      <c r="JE29" s="156"/>
      <c r="JF29" s="156"/>
      <c r="JG29" s="156"/>
      <c r="JH29" s="156"/>
      <c r="JI29" s="156"/>
      <c r="JJ29" s="156"/>
      <c r="JK29" s="156"/>
      <c r="JL29" s="156"/>
      <c r="JM29" s="156"/>
      <c r="JN29" s="156"/>
      <c r="JO29" s="156"/>
      <c r="JP29" s="156"/>
      <c r="JQ29" s="156"/>
      <c r="JR29" s="156"/>
      <c r="JS29" s="156"/>
      <c r="JT29" s="156"/>
      <c r="JU29" s="156"/>
      <c r="JV29" s="156"/>
      <c r="JW29" s="156"/>
      <c r="JX29" s="156"/>
      <c r="JY29" s="156"/>
      <c r="JZ29" s="156"/>
      <c r="KA29" s="156"/>
      <c r="KB29" s="156"/>
      <c r="KC29" s="156"/>
      <c r="KD29" s="156"/>
      <c r="KE29" s="156"/>
      <c r="KF29" s="156"/>
      <c r="KG29" s="156"/>
      <c r="KH29" s="156"/>
      <c r="KI29" s="156"/>
      <c r="KJ29" s="156"/>
      <c r="KK29" s="156"/>
      <c r="KL29" s="156"/>
      <c r="KM29" s="156"/>
      <c r="KN29" s="156"/>
      <c r="KO29" s="156"/>
      <c r="KP29" s="156"/>
      <c r="KQ29" s="156"/>
      <c r="KR29" s="156"/>
      <c r="KS29" s="156"/>
      <c r="KT29" s="156"/>
      <c r="KU29" s="156"/>
      <c r="KV29" s="156"/>
      <c r="KW29" s="156"/>
      <c r="KX29" s="156"/>
      <c r="KY29" s="156"/>
      <c r="KZ29" s="156"/>
      <c r="LA29" s="156"/>
      <c r="LB29" s="156"/>
      <c r="LC29" s="156"/>
      <c r="LD29" s="156"/>
      <c r="LE29" s="156"/>
      <c r="LF29" s="156"/>
      <c r="LG29" s="156"/>
      <c r="LH29" s="156"/>
      <c r="LI29" s="156"/>
      <c r="LJ29" s="156"/>
      <c r="LK29" s="156"/>
      <c r="LL29" s="156"/>
      <c r="LM29" s="156"/>
      <c r="LN29" s="156"/>
      <c r="LO29" s="156"/>
      <c r="LP29" s="156"/>
      <c r="LQ29" s="156"/>
      <c r="LR29" s="156"/>
      <c r="LS29" s="156"/>
      <c r="LT29" s="156"/>
      <c r="LU29" s="156"/>
      <c r="LV29" s="156"/>
    </row>
    <row r="30" spans="178:334">
      <c r="FV30" s="171"/>
      <c r="FW30" s="156"/>
      <c r="FY30" s="171"/>
      <c r="FZ30" s="156"/>
      <c r="GA30" s="156"/>
      <c r="GB30" s="171"/>
      <c r="GC30" s="156"/>
      <c r="GD30" s="156"/>
      <c r="GE30" s="171"/>
      <c r="GF30" s="156"/>
      <c r="GG30" s="156"/>
      <c r="GH30" s="171"/>
      <c r="GI30" s="156"/>
      <c r="GJ30" s="156"/>
      <c r="GK30" s="171"/>
      <c r="GL30" s="156"/>
      <c r="GM30" s="156"/>
      <c r="GN30" s="171"/>
      <c r="GO30" s="156"/>
      <c r="GP30" s="156"/>
      <c r="GQ30" s="171"/>
      <c r="GR30" s="156"/>
      <c r="GS30" s="156"/>
      <c r="GT30" s="156"/>
      <c r="GU30" s="156"/>
      <c r="GV30" s="156"/>
      <c r="GW30" s="171"/>
      <c r="GX30" s="156"/>
      <c r="GY30" s="156"/>
      <c r="GZ30" s="156"/>
      <c r="HA30" s="156"/>
      <c r="HB30" s="156"/>
      <c r="HC30" s="171"/>
      <c r="HD30" s="156"/>
      <c r="HE30" s="156"/>
      <c r="HF30" s="156"/>
      <c r="HG30" s="156"/>
      <c r="HH30" s="156"/>
      <c r="HI30" s="171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  <c r="JA30" s="156"/>
      <c r="JB30" s="156"/>
      <c r="JC30" s="156"/>
      <c r="JD30" s="156"/>
      <c r="JE30" s="156"/>
      <c r="JF30" s="156"/>
      <c r="JG30" s="156"/>
      <c r="JH30" s="156"/>
      <c r="JI30" s="156"/>
      <c r="JJ30" s="156"/>
      <c r="JK30" s="156"/>
      <c r="JL30" s="156"/>
      <c r="JM30" s="156"/>
      <c r="JN30" s="156"/>
      <c r="JO30" s="156"/>
      <c r="JP30" s="156"/>
      <c r="JQ30" s="156"/>
      <c r="JR30" s="156"/>
      <c r="JS30" s="156"/>
      <c r="JT30" s="156"/>
      <c r="JU30" s="156"/>
      <c r="JV30" s="156"/>
      <c r="JW30" s="156"/>
      <c r="JX30" s="156"/>
      <c r="JY30" s="156"/>
      <c r="JZ30" s="156"/>
      <c r="KA30" s="156"/>
      <c r="KB30" s="156"/>
      <c r="KC30" s="156"/>
      <c r="KD30" s="156"/>
      <c r="KE30" s="156"/>
      <c r="KF30" s="156"/>
      <c r="KG30" s="156"/>
      <c r="KH30" s="156"/>
      <c r="KI30" s="156"/>
      <c r="KJ30" s="156"/>
      <c r="KK30" s="156"/>
      <c r="KL30" s="156"/>
      <c r="KM30" s="156"/>
      <c r="KN30" s="156"/>
      <c r="KO30" s="156"/>
      <c r="KP30" s="156"/>
      <c r="KQ30" s="156"/>
      <c r="KR30" s="156"/>
      <c r="KS30" s="156"/>
      <c r="KT30" s="156"/>
      <c r="KU30" s="156"/>
      <c r="KV30" s="156"/>
      <c r="KW30" s="156"/>
      <c r="KX30" s="156"/>
      <c r="KY30" s="156"/>
      <c r="KZ30" s="156"/>
      <c r="LA30" s="156"/>
      <c r="LB30" s="156"/>
      <c r="LC30" s="156"/>
      <c r="LD30" s="156"/>
      <c r="LE30" s="156"/>
      <c r="LF30" s="156"/>
      <c r="LG30" s="156"/>
      <c r="LH30" s="156"/>
      <c r="LI30" s="156"/>
      <c r="LJ30" s="156"/>
      <c r="LK30" s="156"/>
      <c r="LL30" s="156"/>
      <c r="LM30" s="156"/>
      <c r="LN30" s="156"/>
      <c r="LO30" s="156"/>
      <c r="LP30" s="156"/>
      <c r="LQ30" s="156"/>
      <c r="LR30" s="156"/>
      <c r="LS30" s="156"/>
      <c r="LT30" s="156"/>
      <c r="LU30" s="156"/>
      <c r="LV30" s="156"/>
    </row>
    <row r="31" spans="178:334">
      <c r="FV31" s="171"/>
      <c r="FW31" s="156"/>
      <c r="FY31" s="171"/>
      <c r="FZ31" s="156"/>
      <c r="GA31" s="156"/>
      <c r="GB31" s="171"/>
      <c r="GC31" s="156"/>
      <c r="GD31" s="156"/>
      <c r="GE31" s="171"/>
      <c r="GF31" s="156"/>
      <c r="GG31" s="156"/>
      <c r="GH31" s="171"/>
      <c r="GI31" s="156"/>
      <c r="GJ31" s="156"/>
      <c r="GK31" s="171"/>
      <c r="GL31" s="156"/>
      <c r="GM31" s="156"/>
      <c r="GN31" s="171"/>
      <c r="GO31" s="156"/>
      <c r="GP31" s="156"/>
      <c r="GQ31" s="171"/>
      <c r="GR31" s="156"/>
      <c r="GS31" s="156"/>
      <c r="GT31" s="156"/>
      <c r="GU31" s="156"/>
      <c r="GV31" s="156"/>
      <c r="GW31" s="171"/>
      <c r="GX31" s="156"/>
      <c r="GY31" s="156"/>
      <c r="GZ31" s="156"/>
      <c r="HA31" s="156"/>
      <c r="HB31" s="156"/>
      <c r="HC31" s="171"/>
      <c r="HD31" s="156"/>
      <c r="HE31" s="156"/>
      <c r="HF31" s="156"/>
      <c r="HG31" s="156"/>
      <c r="HH31" s="156"/>
      <c r="HI31" s="171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  <c r="JA31" s="156"/>
      <c r="JB31" s="156"/>
      <c r="JC31" s="156"/>
      <c r="JD31" s="156"/>
      <c r="JE31" s="156"/>
      <c r="JF31" s="156"/>
      <c r="JG31" s="156"/>
      <c r="JH31" s="156"/>
      <c r="JI31" s="156"/>
      <c r="JJ31" s="156"/>
      <c r="JK31" s="156"/>
      <c r="JL31" s="156"/>
      <c r="JM31" s="156"/>
      <c r="JN31" s="156"/>
      <c r="JO31" s="156"/>
      <c r="JP31" s="156"/>
      <c r="JQ31" s="156"/>
      <c r="JR31" s="156"/>
      <c r="JS31" s="156"/>
      <c r="JT31" s="156"/>
      <c r="JU31" s="156"/>
      <c r="JV31" s="156"/>
      <c r="JW31" s="156"/>
      <c r="JX31" s="156"/>
      <c r="JY31" s="156"/>
      <c r="JZ31" s="156"/>
      <c r="KA31" s="156"/>
      <c r="KB31" s="156"/>
      <c r="KC31" s="156"/>
      <c r="KD31" s="156"/>
      <c r="KE31" s="156"/>
      <c r="KF31" s="156"/>
      <c r="KG31" s="156"/>
      <c r="KH31" s="156"/>
      <c r="KI31" s="156"/>
      <c r="KJ31" s="156"/>
      <c r="KK31" s="156"/>
      <c r="KL31" s="156"/>
      <c r="KM31" s="156"/>
      <c r="KN31" s="156"/>
      <c r="KO31" s="156"/>
      <c r="KP31" s="156"/>
      <c r="KQ31" s="156"/>
      <c r="KR31" s="156"/>
      <c r="KS31" s="156"/>
      <c r="KT31" s="156"/>
      <c r="KU31" s="156"/>
      <c r="KV31" s="156"/>
      <c r="KW31" s="156"/>
      <c r="KX31" s="156"/>
      <c r="KY31" s="156"/>
      <c r="KZ31" s="156"/>
      <c r="LA31" s="156"/>
      <c r="LB31" s="156"/>
      <c r="LC31" s="156"/>
      <c r="LD31" s="156"/>
      <c r="LE31" s="156"/>
      <c r="LF31" s="156"/>
      <c r="LG31" s="156"/>
      <c r="LH31" s="156"/>
      <c r="LI31" s="156"/>
      <c r="LJ31" s="156"/>
      <c r="LK31" s="156"/>
      <c r="LL31" s="156"/>
      <c r="LM31" s="156"/>
      <c r="LN31" s="156"/>
      <c r="LO31" s="156"/>
      <c r="LP31" s="156"/>
      <c r="LQ31" s="156"/>
      <c r="LR31" s="156"/>
      <c r="LS31" s="156"/>
      <c r="LT31" s="156"/>
      <c r="LU31" s="156"/>
      <c r="LV31" s="156"/>
    </row>
    <row r="32" spans="178:334">
      <c r="FV32" s="171"/>
      <c r="FW32" s="156"/>
      <c r="FY32" s="171"/>
      <c r="FZ32" s="156"/>
      <c r="GA32" s="156"/>
      <c r="GB32" s="171"/>
      <c r="GC32" s="156"/>
      <c r="GD32" s="156"/>
      <c r="GE32" s="171"/>
      <c r="GF32" s="156"/>
      <c r="GG32" s="156"/>
      <c r="GH32" s="171"/>
      <c r="GI32" s="156"/>
      <c r="GJ32" s="156"/>
      <c r="GK32" s="171"/>
      <c r="GL32" s="156"/>
      <c r="GM32" s="156"/>
      <c r="GN32" s="171"/>
      <c r="GO32" s="156"/>
      <c r="GP32" s="156"/>
      <c r="GQ32" s="171"/>
      <c r="GR32" s="156"/>
      <c r="GS32" s="156"/>
      <c r="GT32" s="156"/>
      <c r="GU32" s="156"/>
      <c r="GV32" s="156"/>
      <c r="GW32" s="171"/>
      <c r="GX32" s="156"/>
      <c r="GY32" s="156"/>
      <c r="GZ32" s="156"/>
      <c r="HA32" s="156"/>
      <c r="HB32" s="156"/>
      <c r="HC32" s="171"/>
      <c r="HD32" s="156"/>
      <c r="HE32" s="156"/>
      <c r="HF32" s="156"/>
      <c r="HG32" s="156"/>
      <c r="HH32" s="156"/>
      <c r="HI32" s="171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  <c r="JA32" s="156"/>
      <c r="JB32" s="156"/>
      <c r="JC32" s="156"/>
      <c r="JD32" s="156"/>
      <c r="JE32" s="156"/>
      <c r="JF32" s="156"/>
      <c r="JG32" s="156"/>
      <c r="JH32" s="156"/>
      <c r="JI32" s="156"/>
      <c r="JJ32" s="156"/>
      <c r="JK32" s="156"/>
      <c r="JL32" s="156"/>
      <c r="JM32" s="156"/>
      <c r="JN32" s="156"/>
      <c r="JO32" s="156"/>
      <c r="JP32" s="156"/>
      <c r="JQ32" s="156"/>
      <c r="JR32" s="156"/>
      <c r="JS32" s="156"/>
      <c r="JT32" s="156"/>
      <c r="JU32" s="156"/>
      <c r="JV32" s="156"/>
      <c r="JW32" s="156"/>
      <c r="JX32" s="156"/>
      <c r="JY32" s="156"/>
      <c r="JZ32" s="156"/>
      <c r="KA32" s="156"/>
      <c r="KB32" s="156"/>
      <c r="KC32" s="156"/>
      <c r="KD32" s="156"/>
      <c r="KE32" s="156"/>
      <c r="KF32" s="156"/>
      <c r="KG32" s="156"/>
      <c r="KH32" s="156"/>
      <c r="KI32" s="156"/>
      <c r="KJ32" s="156"/>
      <c r="KK32" s="156"/>
      <c r="KL32" s="156"/>
      <c r="KM32" s="156"/>
      <c r="KN32" s="156"/>
      <c r="KO32" s="156"/>
      <c r="KP32" s="156"/>
      <c r="KQ32" s="156"/>
      <c r="KR32" s="156"/>
      <c r="KS32" s="156"/>
      <c r="KT32" s="156"/>
      <c r="KU32" s="156"/>
      <c r="KV32" s="156"/>
      <c r="KW32" s="156"/>
      <c r="KX32" s="156"/>
      <c r="KY32" s="156"/>
      <c r="KZ32" s="156"/>
      <c r="LA32" s="156"/>
      <c r="LB32" s="156"/>
      <c r="LC32" s="156"/>
      <c r="LD32" s="156"/>
      <c r="LE32" s="156"/>
      <c r="LF32" s="156"/>
      <c r="LG32" s="156"/>
      <c r="LH32" s="156"/>
      <c r="LI32" s="156"/>
      <c r="LJ32" s="156"/>
      <c r="LK32" s="156"/>
      <c r="LL32" s="156"/>
      <c r="LM32" s="156"/>
      <c r="LN32" s="156"/>
      <c r="LO32" s="156"/>
      <c r="LP32" s="156"/>
      <c r="LQ32" s="156"/>
      <c r="LR32" s="156"/>
      <c r="LS32" s="156"/>
      <c r="LT32" s="156"/>
      <c r="LU32" s="156"/>
      <c r="LV32" s="156"/>
    </row>
  </sheetData>
  <customSheetViews>
    <customSheetView guid="{786DE933-524F-40D1-8033-C008687087FC}">
      <pageMargins left="0.7" right="0.7" top="0.75" bottom="0.75" header="0.3" footer="0.3"/>
    </customSheetView>
    <customSheetView guid="{627AEB6E-B9F1-415E-9A60-881757A50C67}">
      <selection activeCell="A14" sqref="A14"/>
      <pageMargins left="0.7" right="0.7" top="0.75" bottom="0.75" header="0.3" footer="0.3"/>
    </customSheetView>
    <customSheetView guid="{874BA5F8-BD95-4DDF-8F31-98DB154CA965}">
      <selection activeCell="A14" sqref="A14"/>
      <pageMargins left="0.7" right="0.7" top="0.75" bottom="0.75" header="0.3" footer="0.3"/>
    </customSheetView>
    <customSheetView guid="{AAA495E0-27FD-4941-85B8-9038B6AD4FA3}">
      <selection activeCell="A14" sqref="A14"/>
      <pageMargins left="0.7" right="0.7" top="0.75" bottom="0.75" header="0.3" footer="0.3"/>
    </customSheetView>
    <customSheetView guid="{77EFF5B1-32BE-4080-9902-B97F43099026}">
      <pageMargins left="0.7" right="0.7" top="0.75" bottom="0.75" header="0.3" footer="0.3"/>
    </customSheetView>
  </customSheetViews>
  <mergeCells count="79">
    <mergeCell ref="C2:D2"/>
    <mergeCell ref="F2:G2"/>
    <mergeCell ref="ID2:IE2"/>
    <mergeCell ref="FG2:FH2"/>
    <mergeCell ref="HX2:HY2"/>
    <mergeCell ref="FM2:FN2"/>
    <mergeCell ref="FS2:FT2"/>
    <mergeCell ref="FP2:FQ2"/>
    <mergeCell ref="HO2:HP2"/>
    <mergeCell ref="HR2:HS2"/>
    <mergeCell ref="GK2:GL2"/>
    <mergeCell ref="GQ2:GR2"/>
    <mergeCell ref="GW2:GX2"/>
    <mergeCell ref="HF2:HG2"/>
    <mergeCell ref="HU2:HV2"/>
    <mergeCell ref="IA2:IB2"/>
    <mergeCell ref="GB2:GC2"/>
    <mergeCell ref="HL2:HM2"/>
    <mergeCell ref="HC2:HD2"/>
    <mergeCell ref="HI2:HJ2"/>
    <mergeCell ref="GH2:GI2"/>
    <mergeCell ref="GN2:GO2"/>
    <mergeCell ref="GT2:GU2"/>
    <mergeCell ref="GZ2:HA2"/>
    <mergeCell ref="GE2:GF2"/>
    <mergeCell ref="EX2:EY2"/>
    <mergeCell ref="FA2:FB2"/>
    <mergeCell ref="FD2:FE2"/>
    <mergeCell ref="FJ2:FK2"/>
    <mergeCell ref="FY2:FZ2"/>
    <mergeCell ref="FV2:FW2"/>
    <mergeCell ref="EU2:EV2"/>
    <mergeCell ref="ER2:ES2"/>
    <mergeCell ref="EE2:EF2"/>
    <mergeCell ref="EH2:EI2"/>
    <mergeCell ref="DY2:DZ2"/>
    <mergeCell ref="EB2:EC2"/>
    <mergeCell ref="EK2:EL2"/>
    <mergeCell ref="EN2:EO2"/>
    <mergeCell ref="DV2:DW2"/>
    <mergeCell ref="DS2:DT2"/>
    <mergeCell ref="BN2:BO2"/>
    <mergeCell ref="CO2:CP2"/>
    <mergeCell ref="CR2:CS2"/>
    <mergeCell ref="CU2:CV2"/>
    <mergeCell ref="CX2:CY2"/>
    <mergeCell ref="DA2:DB2"/>
    <mergeCell ref="DD2:DE2"/>
    <mergeCell ref="DG2:DH2"/>
    <mergeCell ref="DM2:DN2"/>
    <mergeCell ref="DP2:DQ2"/>
    <mergeCell ref="DJ2:DK2"/>
    <mergeCell ref="BQ2:BR2"/>
    <mergeCell ref="BT2:BU2"/>
    <mergeCell ref="BW2:BX2"/>
    <mergeCell ref="BB2:BC2"/>
    <mergeCell ref="BE2:BF2"/>
    <mergeCell ref="BK2:BL2"/>
    <mergeCell ref="BH2:BI2"/>
    <mergeCell ref="CL2:CM2"/>
    <mergeCell ref="BZ2:CA2"/>
    <mergeCell ref="CC2:CD2"/>
    <mergeCell ref="CF2:CG2"/>
    <mergeCell ref="CI2:CJ2"/>
    <mergeCell ref="AM2:AN2"/>
    <mergeCell ref="AP2:AQ2"/>
    <mergeCell ref="AS2:AT2"/>
    <mergeCell ref="AV2:AW2"/>
    <mergeCell ref="AY2:AZ2"/>
    <mergeCell ref="X2:Y2"/>
    <mergeCell ref="AA2:AB2"/>
    <mergeCell ref="AJ2:AK2"/>
    <mergeCell ref="AG2:AH2"/>
    <mergeCell ref="AD2:AE2"/>
    <mergeCell ref="I2:J2"/>
    <mergeCell ref="L2:M2"/>
    <mergeCell ref="O2:P2"/>
    <mergeCell ref="U2:V2"/>
    <mergeCell ref="R2:S2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theme="4" tint="0.59999389629810485"/>
    <pageSetUpPr fitToPage="1"/>
  </sheetPr>
  <dimension ref="A1:Q42"/>
  <sheetViews>
    <sheetView workbookViewId="0">
      <selection activeCell="C5" sqref="C5"/>
    </sheetView>
  </sheetViews>
  <sheetFormatPr defaultColWidth="9.1796875" defaultRowHeight="14.5"/>
  <cols>
    <col min="1" max="1" width="90.1796875" style="413" customWidth="1"/>
    <col min="2" max="2" width="8.1796875" style="413" customWidth="1"/>
    <col min="3" max="3" width="24.54296875" style="413" customWidth="1"/>
    <col min="4" max="5" width="23.81640625" style="413" customWidth="1"/>
    <col min="6" max="6" width="24.81640625" style="413" customWidth="1"/>
    <col min="7" max="7" width="9.1796875" style="413"/>
    <col min="8" max="12" width="9.1796875" style="10"/>
    <col min="13" max="16384" width="9.1796875" style="413"/>
  </cols>
  <sheetData>
    <row r="1" spans="1:17" ht="20">
      <c r="A1" s="252" t="s">
        <v>201</v>
      </c>
      <c r="B1" s="85"/>
      <c r="C1" s="85"/>
      <c r="D1" s="85"/>
      <c r="E1" s="85"/>
      <c r="F1" s="85"/>
    </row>
    <row r="2" spans="1:17" ht="113.25" customHeight="1">
      <c r="A2" s="253" t="s">
        <v>654</v>
      </c>
      <c r="B2" s="72" t="s">
        <v>202</v>
      </c>
      <c r="C2" s="67" t="s">
        <v>1007</v>
      </c>
      <c r="D2" s="67" t="s">
        <v>1005</v>
      </c>
      <c r="E2" s="67" t="s">
        <v>1008</v>
      </c>
      <c r="F2" s="67" t="s">
        <v>1006</v>
      </c>
      <c r="M2" s="10"/>
      <c r="N2" s="10"/>
    </row>
    <row r="3" spans="1:17">
      <c r="A3" s="75"/>
      <c r="B3" s="81"/>
      <c r="C3" s="81"/>
      <c r="D3" s="81"/>
      <c r="E3" s="81"/>
      <c r="F3" s="81"/>
      <c r="M3" s="10"/>
      <c r="N3" s="10"/>
    </row>
    <row r="4" spans="1:17">
      <c r="A4" s="122" t="s">
        <v>46</v>
      </c>
      <c r="B4" s="492">
        <v>11</v>
      </c>
      <c r="C4" s="408">
        <v>7694</v>
      </c>
      <c r="D4" s="408">
        <v>17201</v>
      </c>
      <c r="E4" s="408">
        <v>7346</v>
      </c>
      <c r="F4" s="408">
        <v>16643</v>
      </c>
      <c r="M4" s="10"/>
      <c r="N4" s="10"/>
      <c r="O4" s="519"/>
      <c r="P4" s="519"/>
      <c r="Q4" s="519"/>
    </row>
    <row r="5" spans="1:17">
      <c r="A5" s="122" t="s">
        <v>717</v>
      </c>
      <c r="B5" s="492">
        <v>12</v>
      </c>
      <c r="C5" s="408">
        <v>61</v>
      </c>
      <c r="D5" s="408">
        <v>61</v>
      </c>
      <c r="E5" s="408">
        <v>321</v>
      </c>
      <c r="F5" s="408">
        <v>656</v>
      </c>
      <c r="M5" s="10"/>
      <c r="N5" s="10"/>
      <c r="O5" s="519"/>
      <c r="P5" s="519"/>
      <c r="Q5" s="519"/>
    </row>
    <row r="6" spans="1:17">
      <c r="A6" s="266" t="s">
        <v>955</v>
      </c>
      <c r="B6" s="492">
        <v>13</v>
      </c>
      <c r="C6" s="408">
        <v>-6489</v>
      </c>
      <c r="D6" s="408">
        <v>-14184</v>
      </c>
      <c r="E6" s="408">
        <v>-6063</v>
      </c>
      <c r="F6" s="408">
        <v>-13594</v>
      </c>
      <c r="G6" s="451"/>
      <c r="M6" s="10"/>
      <c r="N6" s="10"/>
      <c r="O6" s="519"/>
      <c r="P6" s="519"/>
      <c r="Q6" s="519"/>
    </row>
    <row r="7" spans="1:17">
      <c r="A7" s="257" t="s">
        <v>838</v>
      </c>
      <c r="B7" s="493"/>
      <c r="C7" s="258">
        <v>1266</v>
      </c>
      <c r="D7" s="258">
        <v>3078</v>
      </c>
      <c r="E7" s="258">
        <v>1604</v>
      </c>
      <c r="F7" s="258">
        <v>3705</v>
      </c>
      <c r="M7" s="10"/>
      <c r="N7" s="10"/>
      <c r="O7" s="519"/>
      <c r="P7" s="519"/>
      <c r="Q7" s="519"/>
    </row>
    <row r="8" spans="1:17">
      <c r="A8" s="122" t="s">
        <v>203</v>
      </c>
      <c r="B8" s="492">
        <v>13</v>
      </c>
      <c r="C8" s="408">
        <v>-207</v>
      </c>
      <c r="D8" s="408">
        <v>-426</v>
      </c>
      <c r="E8" s="408">
        <v>-195</v>
      </c>
      <c r="F8" s="408">
        <v>-393</v>
      </c>
      <c r="M8" s="10"/>
      <c r="N8" s="10"/>
      <c r="O8" s="519"/>
      <c r="P8" s="519"/>
      <c r="Q8" s="519"/>
    </row>
    <row r="9" spans="1:17">
      <c r="A9" s="122" t="s">
        <v>204</v>
      </c>
      <c r="B9" s="492">
        <v>13</v>
      </c>
      <c r="C9" s="408">
        <v>-199</v>
      </c>
      <c r="D9" s="408">
        <v>-399</v>
      </c>
      <c r="E9" s="408">
        <v>-185</v>
      </c>
      <c r="F9" s="408">
        <v>-367</v>
      </c>
      <c r="M9" s="10"/>
      <c r="N9" s="10"/>
      <c r="O9" s="519"/>
      <c r="P9" s="519"/>
      <c r="Q9" s="519"/>
    </row>
    <row r="10" spans="1:17">
      <c r="A10" s="122" t="s">
        <v>956</v>
      </c>
      <c r="B10" s="492"/>
      <c r="C10" s="408">
        <v>65</v>
      </c>
      <c r="D10" s="408">
        <v>109</v>
      </c>
      <c r="E10" s="408">
        <v>34</v>
      </c>
      <c r="F10" s="408">
        <v>93</v>
      </c>
      <c r="M10" s="10"/>
      <c r="N10" s="10"/>
      <c r="O10" s="519"/>
      <c r="P10" s="519"/>
      <c r="Q10" s="519"/>
    </row>
    <row r="11" spans="1:17">
      <c r="A11" s="122" t="s">
        <v>957</v>
      </c>
      <c r="B11" s="492"/>
      <c r="C11" s="408">
        <v>-17</v>
      </c>
      <c r="D11" s="408">
        <v>-72</v>
      </c>
      <c r="E11" s="408">
        <v>-37</v>
      </c>
      <c r="F11" s="408">
        <v>-66</v>
      </c>
      <c r="M11" s="10"/>
      <c r="N11" s="10"/>
      <c r="O11" s="519"/>
      <c r="P11" s="519"/>
      <c r="Q11" s="519"/>
    </row>
    <row r="12" spans="1:17">
      <c r="A12" s="122" t="s">
        <v>728</v>
      </c>
      <c r="B12" s="492">
        <v>21</v>
      </c>
      <c r="C12" s="408">
        <v>7</v>
      </c>
      <c r="D12" s="408">
        <v>38</v>
      </c>
      <c r="E12" s="408">
        <v>15</v>
      </c>
      <c r="F12" s="408">
        <v>22</v>
      </c>
      <c r="M12" s="10"/>
      <c r="N12" s="10"/>
      <c r="O12" s="519"/>
      <c r="P12" s="519"/>
      <c r="Q12" s="519"/>
    </row>
    <row r="13" spans="1:17">
      <c r="A13" s="257" t="s">
        <v>839</v>
      </c>
      <c r="B13" s="493"/>
      <c r="C13" s="258">
        <v>915</v>
      </c>
      <c r="D13" s="258">
        <v>2328</v>
      </c>
      <c r="E13" s="258">
        <v>1236</v>
      </c>
      <c r="F13" s="258">
        <v>2994</v>
      </c>
      <c r="M13" s="10"/>
      <c r="N13" s="10"/>
      <c r="O13" s="519"/>
      <c r="P13" s="519"/>
      <c r="Q13" s="519"/>
    </row>
    <row r="14" spans="1:17">
      <c r="A14" s="123" t="s">
        <v>206</v>
      </c>
      <c r="B14" s="492">
        <v>14</v>
      </c>
      <c r="C14" s="408">
        <v>-131</v>
      </c>
      <c r="D14" s="408">
        <v>-265</v>
      </c>
      <c r="E14" s="408">
        <v>-176</v>
      </c>
      <c r="F14" s="408">
        <v>-341</v>
      </c>
      <c r="M14" s="10"/>
      <c r="N14" s="10"/>
      <c r="O14" s="519"/>
      <c r="P14" s="519"/>
      <c r="Q14" s="519"/>
    </row>
    <row r="15" spans="1:17">
      <c r="A15" s="123" t="s">
        <v>917</v>
      </c>
      <c r="B15" s="492">
        <v>14</v>
      </c>
      <c r="C15" s="408">
        <v>-3</v>
      </c>
      <c r="D15" s="408">
        <v>-3</v>
      </c>
      <c r="E15" s="408">
        <v>13</v>
      </c>
      <c r="F15" s="408">
        <v>-202</v>
      </c>
      <c r="M15" s="10"/>
      <c r="N15" s="10"/>
      <c r="O15" s="519"/>
      <c r="P15" s="519"/>
      <c r="Q15" s="519"/>
    </row>
    <row r="16" spans="1:17">
      <c r="A16" s="123" t="s">
        <v>1010</v>
      </c>
      <c r="B16" s="492">
        <v>14</v>
      </c>
      <c r="C16" s="408">
        <v>99</v>
      </c>
      <c r="D16" s="408">
        <v>135</v>
      </c>
      <c r="E16" s="408">
        <v>3</v>
      </c>
      <c r="F16" s="408">
        <v>98</v>
      </c>
      <c r="M16" s="10"/>
      <c r="N16" s="10"/>
      <c r="O16" s="519"/>
      <c r="P16" s="519"/>
      <c r="Q16" s="519"/>
    </row>
    <row r="17" spans="1:17">
      <c r="A17" s="123" t="s">
        <v>1009</v>
      </c>
      <c r="B17" s="492">
        <v>14</v>
      </c>
      <c r="C17" s="408">
        <v>-27</v>
      </c>
      <c r="D17" s="408">
        <v>-90</v>
      </c>
      <c r="E17" s="408">
        <v>-28</v>
      </c>
      <c r="F17" s="408">
        <v>-52</v>
      </c>
      <c r="M17" s="10"/>
      <c r="N17" s="10"/>
      <c r="O17" s="519"/>
      <c r="P17" s="519"/>
      <c r="Q17" s="519"/>
    </row>
    <row r="18" spans="1:17">
      <c r="A18" s="121" t="s">
        <v>840</v>
      </c>
      <c r="B18" s="492"/>
      <c r="C18" s="409">
        <v>853</v>
      </c>
      <c r="D18" s="409">
        <v>2105</v>
      </c>
      <c r="E18" s="409">
        <v>1048</v>
      </c>
      <c r="F18" s="409">
        <v>2497</v>
      </c>
      <c r="M18" s="10"/>
      <c r="N18" s="10"/>
      <c r="O18" s="519"/>
      <c r="P18" s="519"/>
      <c r="Q18" s="519"/>
    </row>
    <row r="19" spans="1:17">
      <c r="A19" s="122" t="s">
        <v>207</v>
      </c>
      <c r="B19" s="492">
        <v>15</v>
      </c>
      <c r="C19" s="408">
        <v>-267</v>
      </c>
      <c r="D19" s="408">
        <v>-540</v>
      </c>
      <c r="E19" s="408">
        <v>-124</v>
      </c>
      <c r="F19" s="408">
        <v>-442</v>
      </c>
      <c r="M19" s="10"/>
      <c r="N19" s="10"/>
      <c r="O19" s="519"/>
      <c r="P19" s="519"/>
      <c r="Q19" s="519"/>
    </row>
    <row r="20" spans="1:17" ht="15" customHeight="1">
      <c r="A20" s="257" t="s">
        <v>932</v>
      </c>
      <c r="B20" s="493"/>
      <c r="C20" s="258">
        <v>586</v>
      </c>
      <c r="D20" s="258">
        <v>1565</v>
      </c>
      <c r="E20" s="258">
        <v>924</v>
      </c>
      <c r="F20" s="258">
        <v>2055</v>
      </c>
      <c r="M20" s="10"/>
      <c r="N20" s="10"/>
      <c r="O20" s="519"/>
      <c r="P20" s="519"/>
      <c r="Q20" s="519"/>
    </row>
    <row r="21" spans="1:17" ht="16.5" customHeight="1">
      <c r="A21" s="121"/>
      <c r="B21" s="494"/>
      <c r="C21" s="494"/>
      <c r="D21" s="494"/>
      <c r="E21" s="494"/>
      <c r="F21" s="494"/>
      <c r="M21" s="10"/>
      <c r="N21" s="10"/>
      <c r="O21" s="519"/>
      <c r="P21" s="519"/>
      <c r="Q21" s="519"/>
    </row>
    <row r="22" spans="1:17">
      <c r="A22" s="124" t="s">
        <v>208</v>
      </c>
      <c r="B22" s="495"/>
      <c r="C22" s="408">
        <v>-48</v>
      </c>
      <c r="D22" s="408">
        <v>26</v>
      </c>
      <c r="E22" s="408">
        <v>-37</v>
      </c>
      <c r="F22" s="408">
        <v>-69</v>
      </c>
      <c r="M22" s="10"/>
      <c r="N22" s="10"/>
      <c r="O22" s="519"/>
      <c r="P22" s="519"/>
      <c r="Q22" s="519"/>
    </row>
    <row r="23" spans="1:17" ht="25">
      <c r="A23" s="124" t="s">
        <v>1011</v>
      </c>
      <c r="B23" s="495"/>
      <c r="C23" s="408">
        <v>1</v>
      </c>
      <c r="D23" s="408">
        <v>1</v>
      </c>
      <c r="E23" s="408">
        <v>0</v>
      </c>
      <c r="F23" s="408">
        <v>0</v>
      </c>
      <c r="M23" s="10"/>
      <c r="N23" s="10"/>
      <c r="O23" s="519"/>
      <c r="P23" s="519"/>
      <c r="Q23" s="519"/>
    </row>
    <row r="24" spans="1:17">
      <c r="A24" s="124" t="s">
        <v>210</v>
      </c>
      <c r="B24" s="492">
        <v>15</v>
      </c>
      <c r="C24" s="408">
        <v>9</v>
      </c>
      <c r="D24" s="408">
        <v>-5</v>
      </c>
      <c r="E24" s="408">
        <v>7</v>
      </c>
      <c r="F24" s="408">
        <v>13</v>
      </c>
      <c r="M24" s="10"/>
      <c r="N24" s="10"/>
      <c r="O24" s="519"/>
      <c r="P24" s="519"/>
      <c r="Q24" s="519"/>
    </row>
    <row r="25" spans="1:17" ht="26">
      <c r="A25" s="125" t="s">
        <v>958</v>
      </c>
      <c r="B25" s="492"/>
      <c r="C25" s="409">
        <v>-38</v>
      </c>
      <c r="D25" s="409">
        <v>22</v>
      </c>
      <c r="E25" s="409">
        <v>-30</v>
      </c>
      <c r="F25" s="409">
        <v>-56</v>
      </c>
      <c r="M25" s="10"/>
      <c r="N25" s="10"/>
      <c r="O25" s="519"/>
      <c r="P25" s="519"/>
      <c r="Q25" s="519"/>
    </row>
    <row r="26" spans="1:17" ht="6" customHeight="1">
      <c r="A26" s="125"/>
      <c r="B26" s="492"/>
      <c r="C26" s="409"/>
      <c r="D26" s="409"/>
      <c r="E26" s="409"/>
      <c r="F26" s="409"/>
      <c r="M26" s="10"/>
      <c r="N26" s="10"/>
      <c r="O26" s="519"/>
      <c r="P26" s="519"/>
      <c r="Q26" s="519"/>
    </row>
    <row r="27" spans="1:17">
      <c r="A27" s="124" t="s">
        <v>986</v>
      </c>
      <c r="B27" s="492">
        <v>34</v>
      </c>
      <c r="C27" s="408">
        <v>16</v>
      </c>
      <c r="D27" s="408">
        <v>20</v>
      </c>
      <c r="E27" s="408">
        <v>13</v>
      </c>
      <c r="F27" s="408">
        <v>17</v>
      </c>
      <c r="M27" s="10"/>
      <c r="N27" s="10"/>
      <c r="O27" s="519"/>
      <c r="P27" s="519"/>
      <c r="Q27" s="519"/>
    </row>
    <row r="28" spans="1:17">
      <c r="A28" s="124" t="s">
        <v>210</v>
      </c>
      <c r="B28" s="492">
        <v>15</v>
      </c>
      <c r="C28" s="408">
        <v>-3</v>
      </c>
      <c r="D28" s="408">
        <v>-4</v>
      </c>
      <c r="E28" s="408">
        <v>-2</v>
      </c>
      <c r="F28" s="408">
        <v>-3</v>
      </c>
      <c r="M28" s="10"/>
      <c r="N28" s="10"/>
      <c r="O28" s="519"/>
      <c r="P28" s="519"/>
      <c r="Q28" s="519"/>
    </row>
    <row r="29" spans="1:17" ht="36.75" customHeight="1">
      <c r="A29" s="125" t="s">
        <v>959</v>
      </c>
      <c r="B29" s="492"/>
      <c r="C29" s="409">
        <v>13</v>
      </c>
      <c r="D29" s="409">
        <v>16</v>
      </c>
      <c r="E29" s="409">
        <v>11</v>
      </c>
      <c r="F29" s="409">
        <v>14</v>
      </c>
      <c r="M29" s="10"/>
      <c r="N29" s="10"/>
      <c r="O29" s="519"/>
      <c r="P29" s="519"/>
      <c r="Q29" s="519"/>
    </row>
    <row r="30" spans="1:17" ht="8.15" customHeight="1">
      <c r="A30" s="126"/>
      <c r="B30" s="492"/>
      <c r="C30" s="408"/>
      <c r="D30" s="408"/>
      <c r="E30" s="408"/>
      <c r="F30" s="408"/>
      <c r="M30" s="10"/>
      <c r="N30" s="10"/>
      <c r="O30" s="519"/>
      <c r="P30" s="519"/>
      <c r="Q30" s="519"/>
    </row>
    <row r="31" spans="1:17">
      <c r="A31" s="121" t="s">
        <v>211</v>
      </c>
      <c r="B31" s="137"/>
      <c r="C31" s="409">
        <v>-25</v>
      </c>
      <c r="D31" s="409">
        <v>38</v>
      </c>
      <c r="E31" s="409">
        <v>-19</v>
      </c>
      <c r="F31" s="409">
        <v>-42</v>
      </c>
      <c r="M31" s="10"/>
      <c r="N31" s="10"/>
      <c r="O31" s="519"/>
      <c r="P31" s="519"/>
      <c r="Q31" s="519"/>
    </row>
    <row r="32" spans="1:17">
      <c r="A32" s="257" t="s">
        <v>212</v>
      </c>
      <c r="B32" s="259"/>
      <c r="C32" s="258">
        <v>561</v>
      </c>
      <c r="D32" s="258">
        <v>1603</v>
      </c>
      <c r="E32" s="258">
        <v>905</v>
      </c>
      <c r="F32" s="258">
        <v>2013</v>
      </c>
      <c r="M32" s="10"/>
      <c r="N32" s="10"/>
      <c r="O32" s="519"/>
      <c r="P32" s="519"/>
      <c r="Q32" s="519"/>
    </row>
    <row r="33" spans="1:17">
      <c r="A33" s="121" t="s">
        <v>846</v>
      </c>
      <c r="B33" s="127"/>
      <c r="C33" s="408"/>
      <c r="D33" s="408"/>
      <c r="E33" s="408"/>
      <c r="F33" s="408"/>
      <c r="M33" s="10"/>
      <c r="N33" s="10"/>
      <c r="O33" s="519"/>
      <c r="P33" s="519"/>
      <c r="Q33" s="519"/>
    </row>
    <row r="34" spans="1:17">
      <c r="A34" s="124" t="s">
        <v>213</v>
      </c>
      <c r="B34" s="127"/>
      <c r="C34" s="408">
        <v>586</v>
      </c>
      <c r="D34" s="408">
        <v>1565</v>
      </c>
      <c r="E34" s="408">
        <v>923</v>
      </c>
      <c r="F34" s="408">
        <v>2053</v>
      </c>
      <c r="M34" s="10"/>
      <c r="N34" s="10"/>
      <c r="O34" s="519"/>
      <c r="P34" s="519"/>
      <c r="Q34" s="519"/>
    </row>
    <row r="35" spans="1:17">
      <c r="A35" s="124" t="s">
        <v>214</v>
      </c>
      <c r="B35" s="127"/>
      <c r="C35" s="408">
        <v>0</v>
      </c>
      <c r="D35" s="408">
        <v>0</v>
      </c>
      <c r="E35" s="408">
        <v>1</v>
      </c>
      <c r="F35" s="408">
        <v>2</v>
      </c>
      <c r="M35" s="10"/>
      <c r="N35" s="10"/>
      <c r="O35" s="519"/>
      <c r="P35" s="519"/>
      <c r="Q35" s="519"/>
    </row>
    <row r="36" spans="1:17">
      <c r="A36" s="121" t="s">
        <v>215</v>
      </c>
      <c r="B36" s="135"/>
      <c r="C36" s="410"/>
      <c r="D36" s="410"/>
      <c r="E36" s="410"/>
      <c r="F36" s="410"/>
      <c r="M36" s="10"/>
      <c r="N36" s="10"/>
      <c r="O36" s="519"/>
      <c r="P36" s="519"/>
      <c r="Q36" s="519"/>
    </row>
    <row r="37" spans="1:17">
      <c r="A37" s="124" t="s">
        <v>213</v>
      </c>
      <c r="B37" s="127"/>
      <c r="C37" s="408">
        <v>561</v>
      </c>
      <c r="D37" s="408">
        <v>1603</v>
      </c>
      <c r="E37" s="408">
        <v>904</v>
      </c>
      <c r="F37" s="408">
        <v>2011</v>
      </c>
      <c r="M37" s="10"/>
      <c r="N37" s="10"/>
      <c r="O37" s="519"/>
      <c r="P37" s="519"/>
      <c r="Q37" s="519"/>
    </row>
    <row r="38" spans="1:17">
      <c r="A38" s="124" t="s">
        <v>214</v>
      </c>
      <c r="B38" s="127"/>
      <c r="C38" s="408">
        <v>0</v>
      </c>
      <c r="D38" s="408">
        <v>0</v>
      </c>
      <c r="E38" s="408">
        <v>1</v>
      </c>
      <c r="F38" s="408">
        <v>2</v>
      </c>
      <c r="M38" s="10"/>
      <c r="N38" s="10"/>
      <c r="O38" s="519"/>
      <c r="P38" s="519"/>
      <c r="Q38" s="519"/>
    </row>
    <row r="39" spans="1:17" ht="7.5" customHeight="1">
      <c r="A39" s="122"/>
      <c r="B39" s="127"/>
      <c r="C39" s="411"/>
      <c r="D39" s="411"/>
      <c r="E39" s="411"/>
      <c r="F39" s="411"/>
      <c r="M39" s="10"/>
      <c r="N39" s="10"/>
      <c r="O39" s="519"/>
      <c r="P39" s="519"/>
      <c r="Q39" s="519"/>
    </row>
    <row r="40" spans="1:17" ht="22.5" customHeight="1">
      <c r="A40" s="656" t="s">
        <v>847</v>
      </c>
      <c r="B40" s="662"/>
      <c r="C40" s="659">
        <v>0.33437003373840435</v>
      </c>
      <c r="D40" s="659">
        <v>0.89298481706587496</v>
      </c>
      <c r="E40" s="659">
        <v>0.5266613330043467</v>
      </c>
      <c r="F40" s="659">
        <v>1.1714363127388123</v>
      </c>
      <c r="M40" s="10"/>
      <c r="N40" s="10"/>
      <c r="O40" s="519"/>
      <c r="P40" s="519"/>
      <c r="Q40" s="519"/>
    </row>
    <row r="41" spans="1:17">
      <c r="A41" s="121"/>
      <c r="B41" s="127"/>
      <c r="C41" s="127"/>
      <c r="D41" s="127"/>
      <c r="E41" s="127"/>
      <c r="F41" s="127"/>
      <c r="M41" s="10"/>
      <c r="N41" s="10"/>
    </row>
    <row r="42" spans="1:17">
      <c r="M42" s="10"/>
      <c r="N42" s="10"/>
    </row>
  </sheetData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tabColor theme="4" tint="0.59999389629810485"/>
    <pageSetUpPr fitToPage="1"/>
  </sheetPr>
  <dimension ref="A1:M74"/>
  <sheetViews>
    <sheetView workbookViewId="0">
      <selection activeCell="G25" sqref="G25"/>
    </sheetView>
  </sheetViews>
  <sheetFormatPr defaultColWidth="9.1796875" defaultRowHeight="14.5"/>
  <cols>
    <col min="1" max="1" width="89.1796875" style="413" customWidth="1"/>
    <col min="2" max="2" width="9.1796875" style="413"/>
    <col min="3" max="4" width="19.81640625" style="413" customWidth="1"/>
    <col min="5" max="5" width="23.453125" style="10" customWidth="1"/>
    <col min="6" max="6" width="9.81640625" style="10" customWidth="1"/>
    <col min="7" max="8" width="9.1796875" style="10"/>
    <col min="9" max="9" width="13.453125" style="10" customWidth="1"/>
    <col min="10" max="12" width="9.1796875" style="10"/>
    <col min="13" max="16384" width="9.1796875" style="413"/>
  </cols>
  <sheetData>
    <row r="1" spans="1:13" ht="20">
      <c r="A1" s="412" t="s">
        <v>27</v>
      </c>
      <c r="B1" s="430"/>
      <c r="C1" s="430"/>
      <c r="D1" s="103"/>
    </row>
    <row r="2" spans="1:13" ht="83.15" customHeight="1">
      <c r="A2" s="406" t="s">
        <v>654</v>
      </c>
      <c r="B2" s="262" t="s">
        <v>216</v>
      </c>
      <c r="C2" s="262" t="s">
        <v>1012</v>
      </c>
      <c r="D2" s="262" t="s">
        <v>954</v>
      </c>
    </row>
    <row r="3" spans="1:13">
      <c r="A3" s="431" t="s">
        <v>217</v>
      </c>
      <c r="B3" s="432"/>
      <c r="C3" s="432"/>
      <c r="D3" s="433"/>
    </row>
    <row r="4" spans="1:13">
      <c r="A4" s="75" t="s">
        <v>218</v>
      </c>
      <c r="B4" s="404"/>
      <c r="C4" s="434"/>
      <c r="D4" s="401"/>
    </row>
    <row r="5" spans="1:13">
      <c r="A5" s="122" t="s">
        <v>219</v>
      </c>
      <c r="B5" s="660">
        <v>16</v>
      </c>
      <c r="C5" s="421">
        <v>37744</v>
      </c>
      <c r="D5" s="401">
        <v>36566</v>
      </c>
      <c r="M5" s="10"/>
    </row>
    <row r="6" spans="1:13">
      <c r="A6" s="122" t="s">
        <v>524</v>
      </c>
      <c r="B6" s="660">
        <v>17</v>
      </c>
      <c r="C6" s="421">
        <v>2766</v>
      </c>
      <c r="D6" s="401">
        <v>2591</v>
      </c>
      <c r="M6" s="10"/>
    </row>
    <row r="7" spans="1:13">
      <c r="A7" s="122" t="s">
        <v>220</v>
      </c>
      <c r="B7" s="660">
        <v>18</v>
      </c>
      <c r="C7" s="421">
        <v>26</v>
      </c>
      <c r="D7" s="401">
        <v>26</v>
      </c>
      <c r="M7" s="10"/>
    </row>
    <row r="8" spans="1:13" ht="28">
      <c r="A8" s="122" t="s">
        <v>743</v>
      </c>
      <c r="B8" s="661" t="s">
        <v>988</v>
      </c>
      <c r="C8" s="421">
        <v>13</v>
      </c>
      <c r="D8" s="401">
        <v>47</v>
      </c>
      <c r="M8" s="10"/>
    </row>
    <row r="9" spans="1:13">
      <c r="A9" s="122" t="s">
        <v>221</v>
      </c>
      <c r="B9" s="660">
        <v>20</v>
      </c>
      <c r="C9" s="421">
        <v>803</v>
      </c>
      <c r="D9" s="401">
        <v>846</v>
      </c>
      <c r="M9" s="10"/>
    </row>
    <row r="10" spans="1:13">
      <c r="A10" s="136" t="s">
        <v>222</v>
      </c>
      <c r="B10" s="660">
        <v>21</v>
      </c>
      <c r="C10" s="421">
        <v>277</v>
      </c>
      <c r="D10" s="401">
        <v>239</v>
      </c>
      <c r="M10" s="10"/>
    </row>
    <row r="11" spans="1:13">
      <c r="A11" s="136" t="s">
        <v>223</v>
      </c>
      <c r="B11" s="660">
        <v>22</v>
      </c>
      <c r="C11" s="421">
        <v>567</v>
      </c>
      <c r="D11" s="401">
        <v>494</v>
      </c>
      <c r="M11" s="10"/>
    </row>
    <row r="12" spans="1:13">
      <c r="A12" s="136" t="s">
        <v>385</v>
      </c>
      <c r="B12" s="660">
        <v>23</v>
      </c>
      <c r="C12" s="421">
        <v>43</v>
      </c>
      <c r="D12" s="401">
        <v>45</v>
      </c>
      <c r="M12" s="10"/>
    </row>
    <row r="13" spans="1:13">
      <c r="A13" s="122" t="s">
        <v>224</v>
      </c>
      <c r="B13" s="660">
        <v>24</v>
      </c>
      <c r="C13" s="421">
        <v>234</v>
      </c>
      <c r="D13" s="401">
        <v>233</v>
      </c>
      <c r="M13" s="10"/>
    </row>
    <row r="14" spans="1:13">
      <c r="A14" s="122" t="s">
        <v>225</v>
      </c>
      <c r="B14" s="661" t="s">
        <v>960</v>
      </c>
      <c r="C14" s="421">
        <v>1055</v>
      </c>
      <c r="D14" s="401">
        <v>980</v>
      </c>
      <c r="M14" s="10"/>
    </row>
    <row r="15" spans="1:13">
      <c r="A15" s="122" t="s">
        <v>226</v>
      </c>
      <c r="B15" s="661" t="s">
        <v>989</v>
      </c>
      <c r="C15" s="421">
        <v>52</v>
      </c>
      <c r="D15" s="401">
        <v>46</v>
      </c>
      <c r="M15" s="10"/>
    </row>
    <row r="16" spans="1:13">
      <c r="A16" s="435"/>
      <c r="B16" s="436"/>
      <c r="C16" s="437">
        <v>43580</v>
      </c>
      <c r="D16" s="438">
        <v>42113</v>
      </c>
      <c r="M16" s="10"/>
    </row>
    <row r="17" spans="1:13">
      <c r="A17" s="75" t="s">
        <v>227</v>
      </c>
      <c r="B17" s="404"/>
      <c r="C17" s="421"/>
      <c r="D17" s="401"/>
      <c r="M17" s="10"/>
    </row>
    <row r="18" spans="1:13" ht="28">
      <c r="A18" s="122" t="s">
        <v>742</v>
      </c>
      <c r="B18" s="661" t="s">
        <v>990</v>
      </c>
      <c r="C18" s="421">
        <v>98</v>
      </c>
      <c r="D18" s="401">
        <v>227</v>
      </c>
      <c r="M18" s="10"/>
    </row>
    <row r="19" spans="1:13">
      <c r="A19" s="122" t="s">
        <v>228</v>
      </c>
      <c r="B19" s="661">
        <v>27</v>
      </c>
      <c r="C19" s="421">
        <v>733</v>
      </c>
      <c r="D19" s="401">
        <v>807</v>
      </c>
      <c r="M19" s="10"/>
    </row>
    <row r="20" spans="1:13">
      <c r="A20" s="122" t="s">
        <v>229</v>
      </c>
      <c r="B20" s="661">
        <v>28</v>
      </c>
      <c r="C20" s="421">
        <v>3692</v>
      </c>
      <c r="D20" s="401">
        <v>4056</v>
      </c>
      <c r="M20" s="10"/>
    </row>
    <row r="21" spans="1:13">
      <c r="A21" s="122" t="s">
        <v>509</v>
      </c>
      <c r="B21" s="661">
        <v>41</v>
      </c>
      <c r="C21" s="421">
        <v>3</v>
      </c>
      <c r="D21" s="401">
        <v>63</v>
      </c>
      <c r="M21" s="10"/>
    </row>
    <row r="22" spans="1:13">
      <c r="A22" s="122" t="s">
        <v>510</v>
      </c>
      <c r="B22" s="661">
        <v>29</v>
      </c>
      <c r="C22" s="421">
        <v>219</v>
      </c>
      <c r="D22" s="401">
        <v>441</v>
      </c>
      <c r="M22" s="10"/>
    </row>
    <row r="23" spans="1:13">
      <c r="A23" s="136" t="s">
        <v>385</v>
      </c>
      <c r="B23" s="661">
        <v>23</v>
      </c>
      <c r="C23" s="421">
        <v>48</v>
      </c>
      <c r="D23" s="401">
        <v>63</v>
      </c>
      <c r="M23" s="10"/>
    </row>
    <row r="24" spans="1:13">
      <c r="A24" s="388" t="s">
        <v>558</v>
      </c>
      <c r="B24" s="661">
        <v>24</v>
      </c>
      <c r="C24" s="421">
        <v>58</v>
      </c>
      <c r="D24" s="401">
        <v>320</v>
      </c>
      <c r="M24" s="10"/>
    </row>
    <row r="25" spans="1:13">
      <c r="A25" s="122" t="s">
        <v>225</v>
      </c>
      <c r="B25" s="661" t="s">
        <v>962</v>
      </c>
      <c r="C25" s="421">
        <v>178</v>
      </c>
      <c r="D25" s="401">
        <v>133</v>
      </c>
      <c r="M25" s="10"/>
    </row>
    <row r="26" spans="1:13">
      <c r="A26" s="122" t="s">
        <v>231</v>
      </c>
      <c r="B26" s="660">
        <v>30</v>
      </c>
      <c r="C26" s="421">
        <v>2660</v>
      </c>
      <c r="D26" s="401">
        <v>489</v>
      </c>
      <c r="M26" s="10"/>
    </row>
    <row r="27" spans="1:13">
      <c r="A27" s="122" t="s">
        <v>601</v>
      </c>
      <c r="B27" s="402"/>
      <c r="C27" s="421">
        <v>4</v>
      </c>
      <c r="D27" s="401">
        <v>5</v>
      </c>
      <c r="M27" s="10"/>
    </row>
    <row r="28" spans="1:13">
      <c r="A28" s="435"/>
      <c r="B28" s="436"/>
      <c r="C28" s="437">
        <v>7693</v>
      </c>
      <c r="D28" s="438">
        <v>6604</v>
      </c>
      <c r="M28" s="10"/>
    </row>
    <row r="29" spans="1:13">
      <c r="A29" s="266"/>
      <c r="B29" s="404"/>
      <c r="C29" s="421"/>
      <c r="D29" s="401"/>
      <c r="M29" s="10"/>
    </row>
    <row r="30" spans="1:13">
      <c r="A30" s="439" t="s">
        <v>232</v>
      </c>
      <c r="B30" s="440"/>
      <c r="C30" s="441">
        <v>51273</v>
      </c>
      <c r="D30" s="441">
        <v>48717</v>
      </c>
      <c r="M30" s="10"/>
    </row>
    <row r="31" spans="1:13" ht="40.5" customHeight="1">
      <c r="A31" s="266"/>
      <c r="B31" s="404"/>
      <c r="C31" s="81"/>
      <c r="D31" s="401"/>
      <c r="M31" s="10"/>
    </row>
    <row r="32" spans="1:13">
      <c r="A32" s="431" t="s">
        <v>233</v>
      </c>
      <c r="B32" s="436"/>
      <c r="C32" s="432"/>
      <c r="D32" s="438"/>
      <c r="M32" s="10"/>
    </row>
    <row r="33" spans="1:13" ht="26">
      <c r="A33" s="75" t="s">
        <v>234</v>
      </c>
      <c r="B33" s="404"/>
      <c r="C33" s="434"/>
      <c r="D33" s="401"/>
      <c r="M33" s="10"/>
    </row>
    <row r="34" spans="1:13">
      <c r="A34" s="122" t="s">
        <v>235</v>
      </c>
      <c r="B34" s="404" t="s">
        <v>961</v>
      </c>
      <c r="C34" s="421">
        <v>8763</v>
      </c>
      <c r="D34" s="401">
        <v>8763</v>
      </c>
      <c r="M34" s="10"/>
    </row>
    <row r="35" spans="1:13">
      <c r="A35" s="122" t="s">
        <v>236</v>
      </c>
      <c r="B35" s="404" t="s">
        <v>991</v>
      </c>
      <c r="C35" s="421">
        <v>5905</v>
      </c>
      <c r="D35" s="401">
        <v>2948</v>
      </c>
      <c r="M35" s="10"/>
    </row>
    <row r="36" spans="1:13" ht="25">
      <c r="A36" s="122" t="s">
        <v>237</v>
      </c>
      <c r="B36" s="404" t="s">
        <v>987</v>
      </c>
      <c r="C36" s="419">
        <v>-19</v>
      </c>
      <c r="D36" s="420">
        <v>-42</v>
      </c>
      <c r="M36" s="10"/>
    </row>
    <row r="37" spans="1:13" ht="25">
      <c r="A37" s="122" t="s">
        <v>209</v>
      </c>
      <c r="B37" s="404"/>
      <c r="C37" s="419">
        <v>-1</v>
      </c>
      <c r="D37" s="420">
        <v>-2</v>
      </c>
      <c r="M37" s="10"/>
    </row>
    <row r="38" spans="1:13">
      <c r="A38" s="442" t="s">
        <v>238</v>
      </c>
      <c r="B38" s="443" t="s">
        <v>992</v>
      </c>
      <c r="C38" s="444">
        <v>7390</v>
      </c>
      <c r="D38" s="445">
        <v>9116</v>
      </c>
      <c r="M38" s="10"/>
    </row>
    <row r="39" spans="1:13">
      <c r="A39" s="266"/>
      <c r="B39" s="404"/>
      <c r="C39" s="423">
        <v>22038</v>
      </c>
      <c r="D39" s="418">
        <v>20783</v>
      </c>
      <c r="M39" s="10"/>
    </row>
    <row r="40" spans="1:13" ht="2.25" customHeight="1">
      <c r="A40" s="266"/>
      <c r="B40" s="404"/>
      <c r="C40" s="426"/>
      <c r="D40" s="427"/>
      <c r="M40" s="10"/>
    </row>
    <row r="41" spans="1:13">
      <c r="A41" s="75" t="s">
        <v>239</v>
      </c>
      <c r="B41" s="583"/>
      <c r="C41" s="426">
        <v>3</v>
      </c>
      <c r="D41" s="427">
        <v>3</v>
      </c>
      <c r="M41" s="10"/>
    </row>
    <row r="42" spans="1:13" ht="0.75" customHeight="1">
      <c r="A42" s="266"/>
      <c r="B42" s="404"/>
      <c r="C42" s="426"/>
      <c r="D42" s="427"/>
      <c r="M42" s="10"/>
    </row>
    <row r="43" spans="1:13">
      <c r="A43" s="431" t="s">
        <v>240</v>
      </c>
      <c r="B43" s="436"/>
      <c r="C43" s="437">
        <v>22041</v>
      </c>
      <c r="D43" s="438">
        <v>20786</v>
      </c>
      <c r="M43" s="10"/>
    </row>
    <row r="44" spans="1:13" ht="18.75" customHeight="1">
      <c r="A44" s="435"/>
      <c r="B44" s="436"/>
      <c r="C44" s="446"/>
      <c r="D44" s="447"/>
      <c r="M44" s="10"/>
    </row>
    <row r="45" spans="1:13">
      <c r="A45" s="75" t="s">
        <v>241</v>
      </c>
      <c r="B45" s="404"/>
      <c r="C45" s="434"/>
      <c r="D45" s="401"/>
      <c r="M45" s="10"/>
    </row>
    <row r="46" spans="1:13">
      <c r="A46" s="122" t="s">
        <v>242</v>
      </c>
      <c r="B46" s="405">
        <v>33</v>
      </c>
      <c r="C46" s="421">
        <v>11971</v>
      </c>
      <c r="D46" s="401">
        <v>11911</v>
      </c>
      <c r="M46" s="10"/>
    </row>
    <row r="47" spans="1:13">
      <c r="A47" s="122" t="s">
        <v>243</v>
      </c>
      <c r="B47" s="405">
        <v>34</v>
      </c>
      <c r="C47" s="421">
        <v>834</v>
      </c>
      <c r="D47" s="401">
        <v>820</v>
      </c>
      <c r="M47" s="10"/>
    </row>
    <row r="48" spans="1:13" ht="25">
      <c r="A48" s="122" t="s">
        <v>777</v>
      </c>
      <c r="B48" s="405">
        <v>35</v>
      </c>
      <c r="C48" s="421">
        <v>299</v>
      </c>
      <c r="D48" s="401">
        <v>293</v>
      </c>
      <c r="M48" s="10"/>
    </row>
    <row r="49" spans="1:13">
      <c r="A49" s="122" t="s">
        <v>244</v>
      </c>
      <c r="B49" s="405">
        <v>38</v>
      </c>
      <c r="C49" s="421">
        <v>2313</v>
      </c>
      <c r="D49" s="401">
        <v>1670</v>
      </c>
      <c r="M49" s="10"/>
    </row>
    <row r="50" spans="1:13">
      <c r="A50" s="122" t="s">
        <v>245</v>
      </c>
      <c r="B50" s="405" t="s">
        <v>989</v>
      </c>
      <c r="C50" s="421">
        <v>1706</v>
      </c>
      <c r="D50" s="401">
        <v>1529</v>
      </c>
      <c r="M50" s="10"/>
    </row>
    <row r="51" spans="1:13">
      <c r="A51" s="136" t="s">
        <v>385</v>
      </c>
      <c r="B51" s="405" t="s">
        <v>993</v>
      </c>
      <c r="C51" s="421">
        <v>84</v>
      </c>
      <c r="D51" s="401">
        <v>91</v>
      </c>
      <c r="M51" s="10"/>
    </row>
    <row r="52" spans="1:13">
      <c r="A52" s="136" t="s">
        <v>805</v>
      </c>
      <c r="B52" s="405" t="s">
        <v>994</v>
      </c>
      <c r="C52" s="421">
        <v>13</v>
      </c>
      <c r="D52" s="401">
        <v>38</v>
      </c>
      <c r="M52" s="10"/>
    </row>
    <row r="53" spans="1:13">
      <c r="A53" s="122" t="s">
        <v>247</v>
      </c>
      <c r="B53" s="405">
        <v>43</v>
      </c>
      <c r="C53" s="421">
        <v>23</v>
      </c>
      <c r="D53" s="401">
        <v>40</v>
      </c>
      <c r="M53" s="10"/>
    </row>
    <row r="54" spans="1:13">
      <c r="A54" s="266"/>
      <c r="B54" s="405"/>
      <c r="C54" s="426">
        <v>17243</v>
      </c>
      <c r="D54" s="427">
        <v>16392</v>
      </c>
      <c r="M54" s="10"/>
    </row>
    <row r="55" spans="1:13">
      <c r="A55" s="75" t="s">
        <v>248</v>
      </c>
      <c r="B55" s="405"/>
      <c r="C55" s="407"/>
      <c r="D55" s="401"/>
      <c r="M55" s="10"/>
    </row>
    <row r="56" spans="1:13">
      <c r="A56" s="122" t="s">
        <v>242</v>
      </c>
      <c r="B56" s="405">
        <v>33</v>
      </c>
      <c r="C56" s="421">
        <v>1088</v>
      </c>
      <c r="D56" s="401">
        <v>1207</v>
      </c>
      <c r="M56" s="10"/>
    </row>
    <row r="57" spans="1:13">
      <c r="A57" s="148" t="s">
        <v>246</v>
      </c>
      <c r="B57" s="405">
        <v>39</v>
      </c>
      <c r="C57" s="421">
        <v>1620</v>
      </c>
      <c r="D57" s="401">
        <v>1852</v>
      </c>
      <c r="M57" s="10"/>
    </row>
    <row r="58" spans="1:13">
      <c r="A58" s="148" t="s">
        <v>249</v>
      </c>
      <c r="B58" s="405">
        <v>40</v>
      </c>
      <c r="C58" s="421">
        <v>602</v>
      </c>
      <c r="D58" s="401">
        <v>916</v>
      </c>
      <c r="M58" s="10"/>
    </row>
    <row r="59" spans="1:13">
      <c r="A59" s="122" t="s">
        <v>243</v>
      </c>
      <c r="B59" s="405">
        <v>34</v>
      </c>
      <c r="C59" s="421">
        <v>135</v>
      </c>
      <c r="D59" s="401">
        <v>171</v>
      </c>
      <c r="M59" s="10"/>
    </row>
    <row r="60" spans="1:13" ht="25">
      <c r="A60" s="122" t="s">
        <v>684</v>
      </c>
      <c r="B60" s="405">
        <v>36</v>
      </c>
      <c r="C60" s="421">
        <v>4853</v>
      </c>
      <c r="D60" s="401">
        <v>3327</v>
      </c>
      <c r="M60" s="10"/>
    </row>
    <row r="61" spans="1:13">
      <c r="A61" s="122" t="s">
        <v>250</v>
      </c>
      <c r="B61" s="405">
        <v>37</v>
      </c>
      <c r="C61" s="421">
        <v>296</v>
      </c>
      <c r="D61" s="401">
        <v>637</v>
      </c>
      <c r="M61" s="10"/>
    </row>
    <row r="62" spans="1:13">
      <c r="A62" s="122" t="s">
        <v>244</v>
      </c>
      <c r="B62" s="405">
        <v>38</v>
      </c>
      <c r="C62" s="421">
        <v>450</v>
      </c>
      <c r="D62" s="401">
        <v>241</v>
      </c>
      <c r="M62" s="10"/>
    </row>
    <row r="63" spans="1:13">
      <c r="A63" s="122" t="s">
        <v>511</v>
      </c>
      <c r="B63" s="405">
        <v>41</v>
      </c>
      <c r="C63" s="421">
        <v>224</v>
      </c>
      <c r="D63" s="401">
        <v>475</v>
      </c>
      <c r="M63" s="10"/>
    </row>
    <row r="64" spans="1:13">
      <c r="A64" s="122" t="s">
        <v>512</v>
      </c>
      <c r="B64" s="405">
        <v>42</v>
      </c>
      <c r="C64" s="421">
        <v>684</v>
      </c>
      <c r="D64" s="401">
        <v>843</v>
      </c>
      <c r="M64" s="10"/>
    </row>
    <row r="65" spans="1:13">
      <c r="A65" s="136" t="s">
        <v>385</v>
      </c>
      <c r="B65" s="405">
        <v>23</v>
      </c>
      <c r="C65" s="421">
        <v>191</v>
      </c>
      <c r="D65" s="401">
        <v>259</v>
      </c>
      <c r="M65" s="10"/>
    </row>
    <row r="66" spans="1:13">
      <c r="A66" s="122" t="s">
        <v>247</v>
      </c>
      <c r="B66" s="405">
        <v>43</v>
      </c>
      <c r="C66" s="421">
        <v>732</v>
      </c>
      <c r="D66" s="401">
        <v>471</v>
      </c>
      <c r="M66" s="10"/>
    </row>
    <row r="67" spans="1:13" ht="25">
      <c r="A67" s="681" t="s">
        <v>973</v>
      </c>
      <c r="B67" s="443">
        <v>44</v>
      </c>
      <c r="C67" s="444">
        <v>1114</v>
      </c>
      <c r="D67" s="445">
        <v>1140</v>
      </c>
      <c r="M67" s="10"/>
    </row>
    <row r="68" spans="1:13">
      <c r="A68" s="266"/>
      <c r="B68" s="81"/>
      <c r="C68" s="426">
        <v>11989</v>
      </c>
      <c r="D68" s="427">
        <v>11539</v>
      </c>
      <c r="M68" s="10"/>
    </row>
    <row r="69" spans="1:13">
      <c r="A69" s="266"/>
      <c r="B69" s="81"/>
      <c r="C69" s="426"/>
      <c r="D69" s="427"/>
      <c r="M69" s="10"/>
    </row>
    <row r="70" spans="1:13">
      <c r="A70" s="448" t="s">
        <v>252</v>
      </c>
      <c r="B70" s="449"/>
      <c r="C70" s="450">
        <v>29232</v>
      </c>
      <c r="D70" s="450">
        <v>27931</v>
      </c>
      <c r="M70" s="10"/>
    </row>
    <row r="71" spans="1:13">
      <c r="A71" s="266"/>
      <c r="B71" s="81"/>
      <c r="C71" s="427"/>
      <c r="D71" s="427"/>
      <c r="M71" s="10"/>
    </row>
    <row r="72" spans="1:13">
      <c r="A72" s="439" t="s">
        <v>253</v>
      </c>
      <c r="B72" s="440"/>
      <c r="C72" s="441">
        <v>51273</v>
      </c>
      <c r="D72" s="441">
        <v>48717</v>
      </c>
      <c r="M72" s="10"/>
    </row>
    <row r="73" spans="1:13">
      <c r="M73" s="10"/>
    </row>
    <row r="74" spans="1:13">
      <c r="D74" s="400"/>
      <c r="M74" s="10"/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e1df3e-82f5-4b23-9d0b-350546cf224f">
      <Terms xmlns="http://schemas.microsoft.com/office/infopath/2007/PartnerControls"/>
    </lcf76f155ced4ddcb4097134ff3c332f>
    <TaxCatchAll xmlns="666b4b6e-43ed-4b1d-ae5e-6d92ea1257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99B29DB8D65E41BA7053985BBF754A" ma:contentTypeVersion="16" ma:contentTypeDescription="Utwórz nowy dokument." ma:contentTypeScope="" ma:versionID="87d0f904e232e5d45db33817c1d99546">
  <xsd:schema xmlns:xsd="http://www.w3.org/2001/XMLSchema" xmlns:xs="http://www.w3.org/2001/XMLSchema" xmlns:p="http://schemas.microsoft.com/office/2006/metadata/properties" xmlns:ns2="dfe1df3e-82f5-4b23-9d0b-350546cf224f" xmlns:ns3="666b4b6e-43ed-4b1d-ae5e-6d92ea12575d" targetNamespace="http://schemas.microsoft.com/office/2006/metadata/properties" ma:root="true" ma:fieldsID="80dd003650502d1b25513f60a70f6ef3" ns2:_="" ns3:_="">
    <xsd:import namespace="dfe1df3e-82f5-4b23-9d0b-350546cf224f"/>
    <xsd:import namespace="666b4b6e-43ed-4b1d-ae5e-6d92ea1257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1df3e-82f5-4b23-9d0b-350546cf2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ebe6ab8-f229-48dd-bc8a-b3ab89121e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b4b6e-43ed-4b1d-ae5e-6d92ea1257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17c93d-7fba-43ba-a580-41eee64ab63e}" ma:internalName="TaxCatchAll" ma:showField="CatchAllData" ma:web="666b4b6e-43ed-4b1d-ae5e-6d92ea1257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0E5D22-BDBC-40CE-809B-B12027274680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722F9CEF-5802-4AB9-A055-569AD9D49429}">
  <ds:schemaRefs>
    <ds:schemaRef ds:uri="http://schemas.microsoft.com/office/2006/metadata/properties"/>
    <ds:schemaRef ds:uri="http://schemas.microsoft.com/office/2006/documentManagement/types"/>
    <ds:schemaRef ds:uri="666b4b6e-43ed-4b1d-ae5e-6d92ea12575d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fe1df3e-82f5-4b23-9d0b-350546cf224f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8F185D-0AF8-4AC5-8C5F-0F4117C69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1df3e-82f5-4b23-9d0b-350546cf224f"/>
    <ds:schemaRef ds:uri="666b4b6e-43ed-4b1d-ae5e-6d92ea1257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E0D245D-EC38-4572-9819-D83417A9A4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6</vt:i4>
      </vt:variant>
    </vt:vector>
  </HeadingPairs>
  <TitlesOfParts>
    <vt:vector size="18" baseType="lpstr">
      <vt:lpstr>Podst. dane_Key figures</vt:lpstr>
      <vt:lpstr>Dane operacyjne_Operating data</vt:lpstr>
      <vt:lpstr>Zainst. moc_Installed capacity</vt:lpstr>
      <vt:lpstr>Osiąg. moc_Achievable capac</vt:lpstr>
      <vt:lpstr>Segmenty_Segment's results</vt:lpstr>
      <vt:lpstr>Inwestycje_CAPEX</vt:lpstr>
      <vt:lpstr>Rach. zysków i strat_P&amp;L</vt:lpstr>
      <vt:lpstr>Bilans_Balance sheet</vt:lpstr>
      <vt:lpstr>Cash flow</vt:lpstr>
      <vt:lpstr>Hist. dane kwart. - Q figures</vt:lpstr>
      <vt:lpstr>Hist. dane półr. - H figures</vt:lpstr>
      <vt:lpstr>Hist. dane roczne - FY figures</vt:lpstr>
      <vt:lpstr>'Bilans_Balance sheet'!Obszar_wydruku</vt:lpstr>
      <vt:lpstr>'Cash flow'!Obszar_wydruku</vt:lpstr>
      <vt:lpstr>'Hist. dane kwart. - Q figures'!Obszar_wydruku</vt:lpstr>
      <vt:lpstr>'Hist. dane półr. - H figures'!Obszar_wydruku</vt:lpstr>
      <vt:lpstr>'Hist. dane roczne - FY figures'!Obszar_wydruku</vt:lpstr>
      <vt:lpstr>'Rach. zysków i strat_P&amp;L'!Obszar_wydruku</vt:lpstr>
    </vt:vector>
  </TitlesOfParts>
  <Company>TAURON Polska Energia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Barchanowski Rafał</dc:creator>
  <cp:lastModifiedBy>Motyl Jacek (TPE)</cp:lastModifiedBy>
  <cp:lastPrinted>2024-04-12T09:42:29Z</cp:lastPrinted>
  <dcterms:created xsi:type="dcterms:W3CDTF">2016-07-29T07:12:06Z</dcterms:created>
  <dcterms:modified xsi:type="dcterms:W3CDTF">2026-09-09T15:04:25Z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0x0101003999B29DB8D65E41BA7053985BBF754A</vt:lpwstr>
  </property>
  <property fmtid="{D5CDD505-2E9C-101B-9397-08002B2CF9AE}" pid="3" name="Podsumowanie uprawnień">
    <vt:lpwstr>&lt;?xml version="1.0" encoding="utf-16"?&gt;&lt;PermissionsCollection xmlns:xsd="http://www.w3.org/2001/XMLSchema" xmlns:xsi="http://www.w3.org/2001/XMLSchema-instance"&gt;  &lt;ParentItem&gt;    &lt;BrokenInheritance&gt;false&lt;/BrokenInheritance&gt;  &lt;/ParentItem&gt;  &lt;PermissionsFie</vt:lpwstr>
  </property>
  <property fmtid="{D5CDD505-2E9C-101B-9397-08002B2CF9AE}" pid="4" name="TaxKeyword">
    <vt:lpwstr/>
  </property>
  <property fmtid="{D5CDD505-2E9C-101B-9397-08002B2CF9AE}" pid="5" name="AreaDictionary">
    <vt:lpwstr/>
  </property>
  <property fmtid="{D5CDD505-2E9C-101B-9397-08002B2CF9AE}" pid="6" name="CompanyDictionary">
    <vt:lpwstr/>
  </property>
  <property fmtid="{D5CDD505-2E9C-101B-9397-08002B2CF9AE}" pid="7" name="TaxKeywordTaxHTField">
    <vt:lpwstr/>
  </property>
  <property fmtid="{D5CDD505-2E9C-101B-9397-08002B2CF9AE}" pid="8" name="MediaServiceImageTags">
    <vt:lpwstr/>
  </property>
</Properties>
</file>