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jamotyl\AppData\Local\Microsoft\Windows\INetCache\Content.Outlook\5V8M4X1J\"/>
    </mc:Choice>
  </mc:AlternateContent>
  <xr:revisionPtr revIDLastSave="0" documentId="13_ncr:1_{5BD7F18F-1297-4D73-B28B-AA3555D47643}" xr6:coauthVersionLast="47" xr6:coauthVersionMax="47" xr10:uidLastSave="{00000000-0000-0000-0000-000000000000}"/>
  <bookViews>
    <workbookView xWindow="-120" yWindow="-120" windowWidth="29040" windowHeight="15720" tabRatio="783" activeTab="5" xr2:uid="{00000000-000D-0000-FFFF-FFFF00000000}"/>
  </bookViews>
  <sheets>
    <sheet name="Podst. dane_Key figures" sheetId="1" r:id="rId1"/>
    <sheet name="Dane operacyjne_Operating data" sheetId="11" r:id="rId2"/>
    <sheet name="Osiąg. moc_Achievable capac" sheetId="19" r:id="rId3"/>
    <sheet name="Zainst. moc_Installed capacity" sheetId="2" r:id="rId4"/>
    <sheet name="Segmenty_Segment's results" sheetId="3" r:id="rId5"/>
    <sheet name="Inwestycje_CAPEX" sheetId="4" r:id="rId6"/>
    <sheet name="Rach. zysków i strat_P&amp;L" sheetId="12" r:id="rId7"/>
    <sheet name="Bilans_Balance sheet" sheetId="14" r:id="rId8"/>
    <sheet name="Cash flow" sheetId="15" r:id="rId9"/>
    <sheet name="Hist. dane kwart. - Q figures" sheetId="16" r:id="rId10"/>
    <sheet name="Hist. dane półr. - H figures" sheetId="17" r:id="rId11"/>
    <sheet name="Hist. dane roczne - FY figures" sheetId="18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ID" localSheetId="7" hidden="1">"a3ffccd3-a76c-463b-bf83-4da8a3a62c2a"</definedName>
    <definedName name="ID" localSheetId="8" hidden="1">"1be7323e-6a98-4196-83c7-e8ab6ee9603b"</definedName>
    <definedName name="ID" localSheetId="1" hidden="1">"3f2f43cc-4d32-4176-b4fc-11f2a8526bc7"</definedName>
    <definedName name="ID" localSheetId="9" hidden="1">"8c847a63-4ab5-4ce4-b062-a8e6b0f1db7c"</definedName>
    <definedName name="ID" localSheetId="10" hidden="1">"92cc3e02-0484-4dbe-8499-612d2ae419f3"</definedName>
    <definedName name="ID" localSheetId="11" hidden="1">"067b70ad-b86f-4079-9a41-8b934b7fa18e"</definedName>
    <definedName name="ID" localSheetId="5" hidden="1">"caf5a817-87f7-475b-a888-eeb646dc652a"</definedName>
    <definedName name="ID" localSheetId="2" hidden="1">"c91a5454-955b-4b79-b2f0-6b47955a638f"</definedName>
    <definedName name="ID" localSheetId="0" hidden="1">"79491854-8f6c-4eed-a6ef-90817791c8fc"</definedName>
    <definedName name="ID" localSheetId="6" hidden="1">"74b23b1c-5e68-4ba1-afcf-da5093662947"</definedName>
    <definedName name="ID" localSheetId="4" hidden="1">"bee33b52-e99f-4935-96b3-fffca6723cb6"</definedName>
    <definedName name="ID" localSheetId="3" hidden="1">"f9ea9b0f-3929-4e5a-b657-532f1d533556"</definedName>
    <definedName name="_xlnm.Print_Area" localSheetId="7">'Bilans_Balance sheet'!$A$3:$D$74</definedName>
    <definedName name="_xlnm.Print_Area" localSheetId="8">'Cash flow'!$A$2:$D$42</definedName>
    <definedName name="_xlnm.Print_Area" localSheetId="9">'Hist. dane kwart. - Q figures'!$A$199:$AM$244</definedName>
    <definedName name="_xlnm.Print_Area" localSheetId="10">'Hist. dane półr. - H figures'!$A$200:$X$244</definedName>
    <definedName name="_xlnm.Print_Area" localSheetId="11">'Hist. dane roczne - FY figures'!$A$198:$K$243</definedName>
    <definedName name="_xlnm.Print_Area" localSheetId="6">'Rach. zysków i strat_P&amp;L'!$A$2:$F$37</definedName>
    <definedName name="okres_bieżący_ecxel">[1]Arkusz1!$B$20</definedName>
    <definedName name="okres_bieżący_excel_en">[1]Arkusz1!$D$20</definedName>
    <definedName name="okres_porównywalny_excel">[1]Arkusz1!$B$21</definedName>
    <definedName name="okres_porównywalny_excel_en">[1]Arkusz1!$D$21</definedName>
    <definedName name="RndDec">[2]Settings!$E$9</definedName>
    <definedName name="RndScale">[2]Settings!$E$7</definedName>
  </definedNames>
  <calcPr calcId="191029"/>
  <customWorkbookViews>
    <customWorkbookView name="Bielewicz Justyna - Widok osobisty" guid="{786DE933-524F-40D1-8033-C008687087FC}" mergeInterval="0" personalView="1" maximized="1" xWindow="-8" yWindow="-8" windowWidth="1936" windowHeight="1056" tabRatio="796" activeSheetId="10"/>
    <customWorkbookView name="Marcin Siwczyk - Widok osobisty" guid="{627AEB6E-B9F1-415E-9A60-881757A50C67}" mergeInterval="0" personalView="1" maximized="1" xWindow="-8" yWindow="-8" windowWidth="1616" windowHeight="876" tabRatio="796" activeSheetId="2"/>
    <customWorkbookView name="Maciejczyk Ewa - Widok osobisty" guid="{874BA5F8-BD95-4DDF-8F31-98DB154CA965}" mergeInterval="0" personalView="1" maximized="1" xWindow="-8" yWindow="-8" windowWidth="1936" windowHeight="1056" tabRatio="796" activeSheetId="7"/>
    <customWorkbookView name="Otto Sonia - Widok osobisty" guid="{AAA495E0-27FD-4941-85B8-9038B6AD4FA3}" mergeInterval="0" personalView="1" maximized="1" xWindow="-8" yWindow="-8" windowWidth="1936" windowHeight="1056" tabRatio="796" activeSheetId="7"/>
    <customWorkbookView name="Wiechecka Irena - Widok osobisty" guid="{77EFF5B1-32BE-4080-9902-B97F43099026}" mergeInterval="0" personalView="1" maximized="1" xWindow="1592" yWindow="-8" windowWidth="1936" windowHeight="1096" tabRatio="79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3" i="3" l="1"/>
  <c r="Z23" i="3"/>
  <c r="Y23" i="3"/>
  <c r="W23" i="3"/>
  <c r="T23" i="3"/>
  <c r="S23" i="3"/>
  <c r="R23" i="3"/>
  <c r="P23" i="3"/>
  <c r="U23" i="3" s="1"/>
  <c r="O23" i="3"/>
  <c r="N23" i="3"/>
  <c r="M23" i="3"/>
  <c r="J23" i="3"/>
  <c r="I23" i="3"/>
  <c r="H23" i="3"/>
  <c r="F23" i="3"/>
  <c r="K23" i="3" s="1"/>
  <c r="E23" i="3"/>
  <c r="D23" i="3"/>
  <c r="C23" i="3"/>
  <c r="Z11" i="3"/>
  <c r="Y11" i="3"/>
  <c r="X11" i="3"/>
  <c r="W11" i="3"/>
  <c r="T11" i="3"/>
  <c r="S11" i="3"/>
  <c r="R11" i="3"/>
  <c r="P11" i="3"/>
  <c r="U11" i="3" s="1"/>
  <c r="O11" i="3"/>
  <c r="N11" i="3"/>
  <c r="M11" i="3"/>
  <c r="J11" i="3"/>
  <c r="I11" i="3"/>
  <c r="H11" i="3"/>
  <c r="F11" i="3"/>
  <c r="K11" i="3" s="1"/>
  <c r="E11" i="3"/>
  <c r="D11" i="3"/>
  <c r="C11" i="3"/>
  <c r="G10" i="4" l="1"/>
  <c r="F10" i="4"/>
  <c r="D10" i="4"/>
  <c r="C10" i="4"/>
  <c r="G9" i="4"/>
  <c r="F9" i="4"/>
  <c r="D9" i="4"/>
  <c r="C9" i="4"/>
  <c r="G8" i="4"/>
  <c r="F8" i="4"/>
  <c r="D8" i="4"/>
  <c r="C8" i="4"/>
  <c r="G7" i="4"/>
  <c r="F7" i="4"/>
  <c r="D7" i="4"/>
  <c r="C7" i="4"/>
  <c r="G6" i="4"/>
  <c r="F6" i="4"/>
  <c r="D6" i="4"/>
  <c r="C6" i="4"/>
  <c r="G5" i="4"/>
  <c r="F5" i="4"/>
  <c r="D5" i="4"/>
  <c r="C5" i="4"/>
  <c r="J21" i="3"/>
  <c r="I21" i="3"/>
  <c r="H21" i="3"/>
  <c r="J20" i="3"/>
  <c r="I20" i="3"/>
  <c r="H20" i="3"/>
  <c r="J19" i="3"/>
  <c r="I19" i="3"/>
  <c r="H19" i="3"/>
  <c r="J18" i="3"/>
  <c r="I18" i="3"/>
  <c r="H18" i="3"/>
  <c r="J17" i="3"/>
  <c r="I17" i="3"/>
  <c r="H17" i="3"/>
  <c r="J16" i="3"/>
  <c r="I16" i="3"/>
  <c r="H16" i="3"/>
  <c r="J9" i="3"/>
  <c r="I9" i="3"/>
  <c r="H9" i="3"/>
  <c r="J8" i="3"/>
  <c r="I8" i="3"/>
  <c r="H8" i="3"/>
  <c r="J7" i="3"/>
  <c r="I7" i="3"/>
  <c r="H7" i="3"/>
  <c r="J6" i="3"/>
  <c r="I6" i="3"/>
  <c r="H6" i="3"/>
  <c r="J5" i="3"/>
  <c r="I5" i="3"/>
  <c r="H5" i="3"/>
  <c r="J4" i="3"/>
  <c r="I4" i="3"/>
  <c r="H4" i="3"/>
  <c r="F21" i="3"/>
  <c r="E21" i="3"/>
  <c r="D21" i="3"/>
  <c r="C21" i="3"/>
  <c r="F20" i="3"/>
  <c r="E20" i="3"/>
  <c r="D20" i="3"/>
  <c r="C20" i="3"/>
  <c r="F19" i="3"/>
  <c r="E19" i="3"/>
  <c r="D19" i="3"/>
  <c r="C19" i="3"/>
  <c r="F18" i="3"/>
  <c r="E18" i="3"/>
  <c r="D18" i="3"/>
  <c r="C18" i="3"/>
  <c r="F17" i="3"/>
  <c r="E17" i="3"/>
  <c r="D17" i="3"/>
  <c r="C17" i="3"/>
  <c r="F16" i="3"/>
  <c r="E16" i="3"/>
  <c r="D16" i="3"/>
  <c r="C16" i="3"/>
  <c r="F9" i="3"/>
  <c r="E9" i="3"/>
  <c r="D9" i="3"/>
  <c r="C9" i="3"/>
  <c r="F8" i="3"/>
  <c r="E8" i="3"/>
  <c r="D8" i="3"/>
  <c r="C8" i="3"/>
  <c r="F7" i="3"/>
  <c r="E7" i="3"/>
  <c r="D7" i="3"/>
  <c r="C7" i="3"/>
  <c r="F6" i="3"/>
  <c r="E6" i="3"/>
  <c r="D6" i="3"/>
  <c r="C6" i="3"/>
  <c r="F5" i="3"/>
  <c r="E5" i="3"/>
  <c r="D5" i="3"/>
  <c r="C5" i="3"/>
  <c r="F4" i="3"/>
  <c r="E4" i="3"/>
  <c r="D4" i="3"/>
  <c r="C4" i="3"/>
  <c r="C53" i="19" l="1"/>
  <c r="C55" i="2"/>
  <c r="C53" i="2"/>
  <c r="K16" i="3"/>
  <c r="K17" i="3"/>
  <c r="K18" i="3"/>
  <c r="K19" i="3"/>
  <c r="K20" i="3"/>
  <c r="K21" i="3"/>
  <c r="K4" i="3"/>
  <c r="K5" i="3"/>
  <c r="K6" i="3"/>
  <c r="K7" i="3"/>
  <c r="K8" i="3"/>
  <c r="K9" i="3"/>
  <c r="G7" i="11"/>
  <c r="J20" i="1"/>
  <c r="J21" i="1"/>
  <c r="J22" i="1"/>
  <c r="H20" i="1"/>
  <c r="H21" i="1"/>
  <c r="H22" i="1"/>
  <c r="D20" i="1"/>
  <c r="F20" i="1"/>
  <c r="F21" i="1"/>
  <c r="F22" i="1"/>
  <c r="J18" i="1"/>
  <c r="H18" i="1"/>
  <c r="F18" i="1"/>
  <c r="D18" i="1"/>
  <c r="J7" i="1"/>
  <c r="H7" i="1"/>
  <c r="F7" i="1"/>
  <c r="M163" i="16"/>
  <c r="M158" i="16"/>
  <c r="M157" i="16"/>
  <c r="M135" i="16"/>
  <c r="Q65" i="16"/>
  <c r="Q66" i="16"/>
  <c r="Q67" i="16"/>
  <c r="Q68" i="16"/>
  <c r="Q69" i="16"/>
  <c r="Q64" i="16"/>
  <c r="U4" i="3"/>
  <c r="U5" i="3"/>
  <c r="U6" i="3"/>
  <c r="U7" i="3"/>
  <c r="U8" i="3"/>
  <c r="U9" i="3"/>
  <c r="U16" i="3"/>
  <c r="U18" i="3"/>
  <c r="U19" i="3"/>
  <c r="U20" i="3"/>
  <c r="U21" i="3"/>
  <c r="P17" i="3"/>
  <c r="U17" i="3" s="1"/>
  <c r="M18" i="3" l="1"/>
  <c r="H6" i="11"/>
  <c r="E13" i="11"/>
  <c r="E12" i="11"/>
  <c r="E11" i="11"/>
  <c r="E10" i="11"/>
  <c r="E9" i="11"/>
  <c r="E8" i="11"/>
  <c r="E7" i="11"/>
  <c r="E6" i="11"/>
  <c r="E5" i="11"/>
  <c r="N22" i="1"/>
  <c r="N20" i="1"/>
  <c r="L20" i="1"/>
  <c r="P20" i="1" s="1"/>
  <c r="P21" i="1"/>
  <c r="P22" i="1"/>
  <c r="P7" i="1"/>
  <c r="N7" i="1"/>
  <c r="R7" i="1" s="1"/>
  <c r="R18" i="1"/>
  <c r="P18" i="1"/>
  <c r="N18" i="1"/>
  <c r="L18" i="1"/>
  <c r="L135" i="16"/>
  <c r="L130" i="16"/>
  <c r="L9" i="16"/>
  <c r="L8" i="16"/>
  <c r="L7" i="16"/>
  <c r="L5" i="16"/>
  <c r="G7" i="17"/>
  <c r="G5" i="17"/>
  <c r="G135" i="17"/>
  <c r="I135" i="17"/>
  <c r="I99" i="17"/>
  <c r="E14" i="11" a="1"/>
  <c r="D6" i="1" l="1"/>
  <c r="H6" i="1" s="1"/>
  <c r="E14" i="11"/>
  <c r="D35" i="2"/>
  <c r="D58" i="2" s="1"/>
  <c r="C58" i="2"/>
  <c r="P10" i="4" l="1"/>
  <c r="P9" i="4"/>
  <c r="P8" i="4"/>
  <c r="P7" i="4"/>
  <c r="P5" i="4"/>
  <c r="O10" i="4"/>
  <c r="O9" i="4"/>
  <c r="O8" i="4"/>
  <c r="O7" i="4"/>
  <c r="O5" i="4"/>
  <c r="Z21" i="3"/>
  <c r="Z20" i="3"/>
  <c r="Z19" i="3"/>
  <c r="Z18" i="3"/>
  <c r="Z16" i="3"/>
  <c r="Y21" i="3"/>
  <c r="Y20" i="3"/>
  <c r="Y19" i="3"/>
  <c r="Y18" i="3"/>
  <c r="Y16" i="3"/>
  <c r="X21" i="3"/>
  <c r="X20" i="3"/>
  <c r="X19" i="3"/>
  <c r="X18" i="3"/>
  <c r="X16" i="3"/>
  <c r="W21" i="3"/>
  <c r="W20" i="3"/>
  <c r="W19" i="3"/>
  <c r="W18" i="3"/>
  <c r="W16" i="3"/>
  <c r="Z9" i="3"/>
  <c r="Z8" i="3"/>
  <c r="Z7" i="3"/>
  <c r="Z6" i="3"/>
  <c r="Z4" i="3"/>
  <c r="Y9" i="3"/>
  <c r="Y8" i="3"/>
  <c r="Y7" i="3"/>
  <c r="Y6" i="3"/>
  <c r="Y4" i="3"/>
  <c r="X9" i="3"/>
  <c r="X8" i="3"/>
  <c r="X7" i="3"/>
  <c r="X6" i="3"/>
  <c r="X4" i="3"/>
  <c r="W9" i="3"/>
  <c r="W8" i="3"/>
  <c r="W7" i="3"/>
  <c r="W6" i="3"/>
  <c r="W4" i="3"/>
  <c r="V6" i="1"/>
  <c r="R6" i="1" s="1"/>
  <c r="V5" i="1"/>
  <c r="R5" i="1" s="1"/>
  <c r="V4" i="1"/>
  <c r="R4" i="1" s="1"/>
  <c r="V3" i="1"/>
  <c r="R3" i="1" s="1"/>
  <c r="V22" i="1"/>
  <c r="R22" i="1" s="1"/>
  <c r="V21" i="1"/>
  <c r="R21" i="1" s="1"/>
  <c r="V20" i="1"/>
  <c r="R20" i="1" s="1"/>
  <c r="V18" i="1"/>
  <c r="T18" i="1"/>
  <c r="T6" i="1"/>
  <c r="P6" i="1" s="1"/>
  <c r="T3" i="1"/>
  <c r="P3" i="1" s="1"/>
  <c r="F3" i="1" l="1"/>
  <c r="J3" i="1" s="1"/>
  <c r="D3" i="1"/>
  <c r="H3" i="1" s="1"/>
  <c r="T4" i="1"/>
  <c r="P4" i="1" s="1"/>
  <c r="T5" i="1"/>
  <c r="P5" i="1" s="1"/>
  <c r="D5" i="1" l="1"/>
  <c r="H5" i="1" s="1"/>
  <c r="D4" i="1"/>
  <c r="H4" i="1" s="1"/>
  <c r="K9" i="16"/>
  <c r="K7" i="16"/>
  <c r="O135" i="16"/>
  <c r="K135" i="16"/>
  <c r="O99" i="16"/>
  <c r="L7" i="11" l="1"/>
  <c r="R5" i="4" l="1"/>
  <c r="S5" i="4"/>
  <c r="R7" i="4"/>
  <c r="S7" i="4"/>
  <c r="R8" i="4"/>
  <c r="S8" i="4"/>
  <c r="R9" i="4"/>
  <c r="S9" i="4"/>
  <c r="R10" i="4"/>
  <c r="S10" i="4"/>
  <c r="S11" i="4"/>
  <c r="AD22" i="3"/>
  <c r="AC22" i="3"/>
  <c r="AB22" i="3"/>
  <c r="AE21" i="3"/>
  <c r="AD21" i="3"/>
  <c r="AC21" i="3"/>
  <c r="AB21" i="3"/>
  <c r="AE20" i="3"/>
  <c r="AJ20" i="3" s="1"/>
  <c r="AD20" i="3"/>
  <c r="AC20" i="3"/>
  <c r="AB20" i="3"/>
  <c r="AE19" i="3"/>
  <c r="AJ19" i="3" s="1"/>
  <c r="AD19" i="3"/>
  <c r="AC19" i="3"/>
  <c r="AB19" i="3"/>
  <c r="AE18" i="3"/>
  <c r="AJ18" i="3" s="1"/>
  <c r="AD18" i="3"/>
  <c r="AC18" i="3"/>
  <c r="AB18" i="3"/>
  <c r="AE16" i="3"/>
  <c r="AJ16" i="3" s="1"/>
  <c r="AD16" i="3"/>
  <c r="AC16" i="3"/>
  <c r="AB16" i="3"/>
  <c r="AE9" i="3"/>
  <c r="AJ9" i="3" s="1"/>
  <c r="AD9" i="3"/>
  <c r="AC9" i="3"/>
  <c r="AB9" i="3"/>
  <c r="AE8" i="3"/>
  <c r="AJ8" i="3" s="1"/>
  <c r="AD8" i="3"/>
  <c r="AC8" i="3"/>
  <c r="AB8" i="3"/>
  <c r="AE7" i="3"/>
  <c r="AJ7" i="3" s="1"/>
  <c r="AD7" i="3"/>
  <c r="AC7" i="3"/>
  <c r="AB7" i="3"/>
  <c r="AE6" i="3"/>
  <c r="AJ6" i="3" s="1"/>
  <c r="AD6" i="3"/>
  <c r="AC6" i="3"/>
  <c r="AB6" i="3"/>
  <c r="AE4" i="3"/>
  <c r="AJ4" i="3" s="1"/>
  <c r="AD4" i="3"/>
  <c r="AC4" i="3"/>
  <c r="AB4" i="3"/>
  <c r="AJ21" i="3"/>
  <c r="X20" i="1"/>
  <c r="AB20" i="1" s="1"/>
  <c r="X6" i="1"/>
  <c r="X5" i="1"/>
  <c r="X4" i="1"/>
  <c r="X3" i="1"/>
  <c r="Z22" i="1" l="1"/>
  <c r="Z21" i="1"/>
  <c r="Z19" i="1"/>
  <c r="AD18" i="1"/>
  <c r="AB18" i="1"/>
  <c r="Z18" i="1"/>
  <c r="X18" i="1"/>
  <c r="Z7" i="1"/>
  <c r="Z6" i="1"/>
  <c r="Z5" i="1"/>
  <c r="Z4" i="1"/>
  <c r="Z3" i="1"/>
  <c r="C39" i="2"/>
  <c r="C42" i="19" l="1"/>
  <c r="C39" i="19"/>
  <c r="K13" i="11"/>
  <c r="K6" i="11"/>
  <c r="J12" i="11"/>
  <c r="N82" i="16"/>
  <c r="N83" i="16"/>
  <c r="N84" i="16"/>
  <c r="N85" i="16"/>
  <c r="N86" i="16"/>
  <c r="N88" i="16"/>
  <c r="N90" i="16"/>
  <c r="N81" i="16"/>
  <c r="J14" i="11" a="1"/>
  <c r="J14" i="11" l="1"/>
  <c r="H167" i="17"/>
  <c r="F135" i="18"/>
  <c r="F99" i="18"/>
  <c r="AS22" i="3" l="1"/>
  <c r="AR22" i="3"/>
  <c r="AQ22" i="3"/>
  <c r="AS21" i="3"/>
  <c r="AR21" i="3"/>
  <c r="AQ21" i="3"/>
  <c r="AS20" i="3"/>
  <c r="AR20" i="3"/>
  <c r="AQ20" i="3"/>
  <c r="AS19" i="3"/>
  <c r="AR19" i="3"/>
  <c r="AQ19" i="3"/>
  <c r="AS18" i="3"/>
  <c r="AR18" i="3"/>
  <c r="AQ18" i="3"/>
  <c r="AS16" i="3"/>
  <c r="AR16" i="3"/>
  <c r="AQ16" i="3"/>
  <c r="AS9" i="3"/>
  <c r="AR9" i="3"/>
  <c r="AQ9" i="3"/>
  <c r="AS8" i="3"/>
  <c r="AR8" i="3"/>
  <c r="AQ8" i="3"/>
  <c r="AS7" i="3"/>
  <c r="AR7" i="3"/>
  <c r="AQ7" i="3"/>
  <c r="AS6" i="3"/>
  <c r="AR6" i="3"/>
  <c r="AQ6" i="3"/>
  <c r="AS4" i="3"/>
  <c r="AR4" i="3"/>
  <c r="AQ4" i="3"/>
  <c r="AB11" i="4"/>
  <c r="AB10" i="4"/>
  <c r="AA10" i="4"/>
  <c r="AB9" i="4"/>
  <c r="AA9" i="4"/>
  <c r="AB8" i="4"/>
  <c r="AA8" i="4"/>
  <c r="AB7" i="4"/>
  <c r="AA7" i="4"/>
  <c r="AB5" i="4"/>
  <c r="AA5" i="4"/>
  <c r="Y11" i="4"/>
  <c r="V11" i="4" s="1"/>
  <c r="Y10" i="4"/>
  <c r="V10" i="4" s="1"/>
  <c r="X10" i="4"/>
  <c r="U10" i="4" s="1"/>
  <c r="Y9" i="4"/>
  <c r="V9" i="4" s="1"/>
  <c r="X9" i="4"/>
  <c r="U9" i="4" s="1"/>
  <c r="Y8" i="4"/>
  <c r="V8" i="4" s="1"/>
  <c r="X8" i="4"/>
  <c r="U8" i="4" s="1"/>
  <c r="Y7" i="4"/>
  <c r="V7" i="4" s="1"/>
  <c r="X7" i="4"/>
  <c r="U7" i="4" s="1"/>
  <c r="Y5" i="4"/>
  <c r="V5" i="4" s="1"/>
  <c r="X5" i="4"/>
  <c r="U5" i="4" s="1"/>
  <c r="AO16" i="3"/>
  <c r="AT16" i="3" s="1"/>
  <c r="AO18" i="3"/>
  <c r="AT18" i="3" s="1"/>
  <c r="AO19" i="3"/>
  <c r="AT19" i="3" s="1"/>
  <c r="AO20" i="3"/>
  <c r="AT20" i="3" s="1"/>
  <c r="AO21" i="3"/>
  <c r="AT21" i="3" s="1"/>
  <c r="AO4" i="3"/>
  <c r="AT4" i="3" s="1"/>
  <c r="AO6" i="3"/>
  <c r="AT6" i="3" s="1"/>
  <c r="AO7" i="3"/>
  <c r="AT7" i="3" s="1"/>
  <c r="AO8" i="3"/>
  <c r="AT8" i="3" s="1"/>
  <c r="AO9" i="3"/>
  <c r="AT9" i="3" s="1"/>
  <c r="AN22" i="3"/>
  <c r="AI22" i="3" s="1"/>
  <c r="AM22" i="3"/>
  <c r="AH22" i="3" s="1"/>
  <c r="AL22" i="3"/>
  <c r="AG22" i="3" s="1"/>
  <c r="AN21" i="3"/>
  <c r="AI21" i="3" s="1"/>
  <c r="AM21" i="3"/>
  <c r="AH21" i="3" s="1"/>
  <c r="AL21" i="3"/>
  <c r="AG21" i="3" s="1"/>
  <c r="AN20" i="3"/>
  <c r="AI20" i="3" s="1"/>
  <c r="AM20" i="3"/>
  <c r="AH20" i="3" s="1"/>
  <c r="AL20" i="3"/>
  <c r="AG20" i="3" s="1"/>
  <c r="AN19" i="3"/>
  <c r="AI19" i="3" s="1"/>
  <c r="AM19" i="3"/>
  <c r="AH19" i="3" s="1"/>
  <c r="AL19" i="3"/>
  <c r="AG19" i="3" s="1"/>
  <c r="AN18" i="3"/>
  <c r="AI18" i="3" s="1"/>
  <c r="AM18" i="3"/>
  <c r="AH18" i="3" s="1"/>
  <c r="AL18" i="3"/>
  <c r="AG18" i="3" s="1"/>
  <c r="AN16" i="3"/>
  <c r="AI16" i="3" s="1"/>
  <c r="AM16" i="3"/>
  <c r="AH16" i="3" s="1"/>
  <c r="AL16" i="3"/>
  <c r="AG16" i="3" s="1"/>
  <c r="AN9" i="3"/>
  <c r="AI9" i="3" s="1"/>
  <c r="AM9" i="3"/>
  <c r="AH9" i="3" s="1"/>
  <c r="AL9" i="3"/>
  <c r="AG9" i="3" s="1"/>
  <c r="AN8" i="3"/>
  <c r="AI8" i="3" s="1"/>
  <c r="AM8" i="3"/>
  <c r="AH8" i="3" s="1"/>
  <c r="AL8" i="3"/>
  <c r="AG8" i="3" s="1"/>
  <c r="AN7" i="3"/>
  <c r="AI7" i="3" s="1"/>
  <c r="AM7" i="3"/>
  <c r="AH7" i="3" s="1"/>
  <c r="AL7" i="3"/>
  <c r="AG7" i="3" s="1"/>
  <c r="AN6" i="3"/>
  <c r="AI6" i="3" s="1"/>
  <c r="AM6" i="3"/>
  <c r="AH6" i="3" s="1"/>
  <c r="AL6" i="3"/>
  <c r="AG6" i="3" s="1"/>
  <c r="AN4" i="3"/>
  <c r="AI4" i="3" s="1"/>
  <c r="AM4" i="3"/>
  <c r="AH4" i="3" s="1"/>
  <c r="AL4" i="3"/>
  <c r="AG4" i="3" s="1"/>
  <c r="AH20" i="1"/>
  <c r="AH21" i="1"/>
  <c r="AF6" i="1"/>
  <c r="AF5" i="1"/>
  <c r="AF4" i="1"/>
  <c r="AF3" i="1"/>
  <c r="AB3" i="1" s="1"/>
  <c r="AH22" i="1"/>
  <c r="AH19" i="1"/>
  <c r="AH18" i="1"/>
  <c r="AF18" i="1"/>
  <c r="AH7" i="1"/>
  <c r="AH6" i="1"/>
  <c r="AH5" i="1"/>
  <c r="AH4" i="1"/>
  <c r="AH3" i="1"/>
  <c r="BL22" i="1"/>
  <c r="AL22" i="1" s="1"/>
  <c r="BL21" i="1"/>
  <c r="AL21" i="1"/>
  <c r="AL20" i="1"/>
  <c r="AL19" i="1"/>
  <c r="AL3" i="1"/>
  <c r="AL4" i="1"/>
  <c r="AL5" i="1"/>
  <c r="AL6" i="1"/>
  <c r="BL7" i="1"/>
  <c r="AL7" i="1"/>
  <c r="AJ6" i="1"/>
  <c r="AJ5" i="1"/>
  <c r="AJ4" i="1"/>
  <c r="AJ3" i="1"/>
  <c r="AL18" i="1"/>
  <c r="AJ18" i="1"/>
  <c r="I16" i="16"/>
  <c r="I15" i="16"/>
  <c r="I14" i="16"/>
  <c r="I13" i="16"/>
  <c r="I10" i="16"/>
  <c r="I9" i="16"/>
  <c r="I8" i="16"/>
  <c r="I7" i="16"/>
  <c r="I5" i="16"/>
  <c r="H5" i="16"/>
  <c r="AE11" i="4"/>
  <c r="AE10" i="4"/>
  <c r="AE9" i="4"/>
  <c r="AE8" i="4"/>
  <c r="AE7" i="4"/>
  <c r="AE5" i="4"/>
  <c r="AD10" i="4"/>
  <c r="AD9" i="4"/>
  <c r="AD8" i="4"/>
  <c r="AD7" i="4"/>
  <c r="AD5" i="4"/>
  <c r="AH11" i="4"/>
  <c r="AH10" i="4"/>
  <c r="AG10" i="4"/>
  <c r="AH9" i="4"/>
  <c r="AG9" i="4"/>
  <c r="AH8" i="4"/>
  <c r="AG8" i="4"/>
  <c r="AH7" i="4"/>
  <c r="AG7" i="4"/>
  <c r="AH5" i="4"/>
  <c r="AG5" i="4"/>
  <c r="BC22" i="3"/>
  <c r="BB22" i="3"/>
  <c r="BA22" i="3"/>
  <c r="BC21" i="3"/>
  <c r="BB21" i="3"/>
  <c r="BA21" i="3"/>
  <c r="BC20" i="3"/>
  <c r="BB20" i="3"/>
  <c r="BA20" i="3"/>
  <c r="BC19" i="3"/>
  <c r="BB19" i="3"/>
  <c r="BA19" i="3"/>
  <c r="BC18" i="3"/>
  <c r="BB18" i="3"/>
  <c r="BA18" i="3"/>
  <c r="BC16" i="3"/>
  <c r="BB16" i="3"/>
  <c r="BA16" i="3"/>
  <c r="AY4" i="3"/>
  <c r="BD4" i="3" s="1"/>
  <c r="AY6" i="3"/>
  <c r="BD6" i="3" s="1"/>
  <c r="AY7" i="3"/>
  <c r="BD7" i="3" s="1"/>
  <c r="AY8" i="3"/>
  <c r="BD8" i="3" s="1"/>
  <c r="AY9" i="3"/>
  <c r="BD9" i="3" s="1"/>
  <c r="BC9" i="3"/>
  <c r="BC8" i="3"/>
  <c r="BC7" i="3"/>
  <c r="BC6" i="3"/>
  <c r="BC4" i="3"/>
  <c r="BB9" i="3"/>
  <c r="BB8" i="3"/>
  <c r="BB7" i="3"/>
  <c r="BB6" i="3"/>
  <c r="BB4" i="3"/>
  <c r="BA9" i="3"/>
  <c r="BA8" i="3"/>
  <c r="BA7" i="3"/>
  <c r="BA6" i="3"/>
  <c r="BA4" i="3"/>
  <c r="BI16" i="3"/>
  <c r="BD16" i="3" s="1"/>
  <c r="BI18" i="3"/>
  <c r="BD18" i="3" s="1"/>
  <c r="BI19" i="3"/>
  <c r="BD19" i="3" s="1"/>
  <c r="BI20" i="3"/>
  <c r="BD20" i="3" s="1"/>
  <c r="BI21" i="3"/>
  <c r="BD21" i="3" s="1"/>
  <c r="AY22" i="3"/>
  <c r="AX22" i="3"/>
  <c r="AW22" i="3"/>
  <c r="AV22" i="3"/>
  <c r="AY21" i="3"/>
  <c r="AX21" i="3"/>
  <c r="AW21" i="3"/>
  <c r="AV21" i="3"/>
  <c r="AY20" i="3"/>
  <c r="AX20" i="3"/>
  <c r="AW20" i="3"/>
  <c r="AV20" i="3"/>
  <c r="AY19" i="3"/>
  <c r="AX19" i="3"/>
  <c r="AW19" i="3"/>
  <c r="AV19" i="3"/>
  <c r="AY18" i="3"/>
  <c r="AX18" i="3"/>
  <c r="AW18" i="3"/>
  <c r="AV18" i="3"/>
  <c r="AY16" i="3"/>
  <c r="AX16" i="3"/>
  <c r="AW16" i="3"/>
  <c r="AV16" i="3"/>
  <c r="AX9" i="3"/>
  <c r="AX8" i="3"/>
  <c r="AX7" i="3"/>
  <c r="AX6" i="3"/>
  <c r="AX4" i="3"/>
  <c r="AW9" i="3"/>
  <c r="AW8" i="3"/>
  <c r="AW7" i="3"/>
  <c r="AW6" i="3"/>
  <c r="AW4" i="3"/>
  <c r="AV9" i="3"/>
  <c r="AV8" i="3"/>
  <c r="AV7" i="3"/>
  <c r="AV6" i="3"/>
  <c r="AV4" i="3"/>
  <c r="BI22" i="3"/>
  <c r="BH22" i="3"/>
  <c r="BG22" i="3"/>
  <c r="BF22" i="3"/>
  <c r="BH21" i="3"/>
  <c r="BG21" i="3"/>
  <c r="BF21" i="3"/>
  <c r="BH20" i="3"/>
  <c r="BG20" i="3"/>
  <c r="BF20" i="3"/>
  <c r="BH19" i="3"/>
  <c r="BG19" i="3"/>
  <c r="BF19" i="3"/>
  <c r="BH18" i="3"/>
  <c r="BG18" i="3"/>
  <c r="BF18" i="3"/>
  <c r="BH16" i="3"/>
  <c r="BG16" i="3"/>
  <c r="BF16" i="3"/>
  <c r="BI9" i="3"/>
  <c r="BH9" i="3"/>
  <c r="BG9" i="3"/>
  <c r="BF9" i="3"/>
  <c r="BI8" i="3"/>
  <c r="BH8" i="3"/>
  <c r="BG8" i="3"/>
  <c r="BF8" i="3"/>
  <c r="BI7" i="3"/>
  <c r="BH7" i="3"/>
  <c r="BG7" i="3"/>
  <c r="BF7" i="3"/>
  <c r="BI6" i="3"/>
  <c r="BH6" i="3"/>
  <c r="BG6" i="3"/>
  <c r="BF6" i="3"/>
  <c r="BI4" i="3"/>
  <c r="BH4" i="3"/>
  <c r="BG4" i="3"/>
  <c r="BF4" i="3"/>
  <c r="C49" i="19"/>
  <c r="C51" i="19" s="1"/>
  <c r="C58" i="19" s="1"/>
  <c r="C42" i="2"/>
  <c r="C49" i="2"/>
  <c r="N6" i="11"/>
  <c r="J6" i="11" s="1"/>
  <c r="M7" i="11"/>
  <c r="J7" i="11" s="1"/>
  <c r="S6" i="11"/>
  <c r="P6" i="11"/>
  <c r="Q6" i="11"/>
  <c r="R6" i="11"/>
  <c r="AP19" i="1"/>
  <c r="AP21" i="1"/>
  <c r="AP22" i="1"/>
  <c r="AT19" i="1"/>
  <c r="BT21" i="1"/>
  <c r="AT21" i="1" s="1"/>
  <c r="BT22" i="1"/>
  <c r="AT22" i="1" s="1"/>
  <c r="AR7" i="1"/>
  <c r="AP7" i="1"/>
  <c r="AT7" i="1" s="1"/>
  <c r="AX6" i="1"/>
  <c r="AP6" i="1"/>
  <c r="AX5" i="1"/>
  <c r="AP5" i="1"/>
  <c r="AX4" i="1"/>
  <c r="AP4" i="1"/>
  <c r="AX3" i="1"/>
  <c r="AP3" i="1"/>
  <c r="AV3" i="1"/>
  <c r="AN3" i="1"/>
  <c r="AV4" i="1"/>
  <c r="AN4" i="1"/>
  <c r="AV5" i="1"/>
  <c r="AN5" i="1"/>
  <c r="AV6" i="1"/>
  <c r="AN6" i="1"/>
  <c r="AT18" i="1"/>
  <c r="AR18" i="1"/>
  <c r="AP18" i="1"/>
  <c r="AN18" i="1"/>
  <c r="L152" i="16"/>
  <c r="E32" i="17"/>
  <c r="E30" i="17"/>
  <c r="E29" i="17"/>
  <c r="E17" i="17"/>
  <c r="E16" i="17"/>
  <c r="E15" i="17"/>
  <c r="E14" i="17"/>
  <c r="E13" i="17"/>
  <c r="E10" i="17"/>
  <c r="E9" i="17"/>
  <c r="E8" i="17"/>
  <c r="E7" i="17"/>
  <c r="E5" i="17"/>
  <c r="K8" i="16"/>
  <c r="G167" i="17"/>
  <c r="J5" i="11"/>
  <c r="J8" i="11"/>
  <c r="J9" i="11"/>
  <c r="J10" i="11"/>
  <c r="J11" i="11"/>
  <c r="J13" i="11"/>
  <c r="AX19" i="1"/>
  <c r="BX20" i="1"/>
  <c r="AX20" i="1" s="1"/>
  <c r="AX21" i="1"/>
  <c r="AX22" i="1"/>
  <c r="AX7" i="1"/>
  <c r="C13" i="19"/>
  <c r="C3" i="2"/>
  <c r="C7" i="2"/>
  <c r="C10" i="2"/>
  <c r="C15" i="2"/>
  <c r="C23" i="2"/>
  <c r="C20" i="2" s="1"/>
  <c r="C30" i="2"/>
  <c r="C35" i="2" s="1"/>
  <c r="D20" i="19"/>
  <c r="D24" i="19" s="1"/>
  <c r="D30" i="19"/>
  <c r="D35" i="19" s="1"/>
  <c r="D58" i="19" s="1"/>
  <c r="C3" i="19"/>
  <c r="C7" i="19"/>
  <c r="C10" i="19"/>
  <c r="C15" i="19"/>
  <c r="C23" i="19"/>
  <c r="C20" i="19" s="1"/>
  <c r="C30" i="19"/>
  <c r="C35" i="19" s="1"/>
  <c r="D20" i="2"/>
  <c r="D24" i="2" s="1"/>
  <c r="D30" i="2"/>
  <c r="AJ11" i="4"/>
  <c r="AK11" i="4"/>
  <c r="AJ10" i="4"/>
  <c r="AK10" i="4"/>
  <c r="AJ5" i="4"/>
  <c r="AK5" i="4"/>
  <c r="AJ7" i="4"/>
  <c r="AK7" i="4"/>
  <c r="AJ8" i="4"/>
  <c r="AK8" i="4"/>
  <c r="AJ9" i="4"/>
  <c r="AK9" i="4"/>
  <c r="BK22" i="3"/>
  <c r="BL22" i="3"/>
  <c r="BM22" i="3"/>
  <c r="BN16" i="3"/>
  <c r="BN18" i="3"/>
  <c r="BN19" i="3"/>
  <c r="BN20" i="3"/>
  <c r="BN21" i="3"/>
  <c r="BN22" i="3"/>
  <c r="BK16" i="3"/>
  <c r="BL16" i="3"/>
  <c r="BM16" i="3"/>
  <c r="BK18" i="3"/>
  <c r="BL18" i="3"/>
  <c r="BM18" i="3"/>
  <c r="BK19" i="3"/>
  <c r="BL19" i="3"/>
  <c r="BM19" i="3"/>
  <c r="BK20" i="3"/>
  <c r="BL20" i="3"/>
  <c r="BM20" i="3"/>
  <c r="BK21" i="3"/>
  <c r="BL21" i="3"/>
  <c r="BM21" i="3"/>
  <c r="BK10" i="3"/>
  <c r="BL10" i="3"/>
  <c r="BM10" i="3"/>
  <c r="BN4" i="3"/>
  <c r="BN6" i="3"/>
  <c r="BN7" i="3"/>
  <c r="BN8" i="3"/>
  <c r="BN9" i="3"/>
  <c r="BN10" i="3"/>
  <c r="BK4" i="3"/>
  <c r="BL4" i="3"/>
  <c r="BM4" i="3"/>
  <c r="BK6" i="3"/>
  <c r="BL6" i="3"/>
  <c r="BM6" i="3"/>
  <c r="BK7" i="3"/>
  <c r="BL7" i="3"/>
  <c r="BM7" i="3"/>
  <c r="BK8" i="3"/>
  <c r="BL8" i="3"/>
  <c r="BM8" i="3"/>
  <c r="BK9" i="3"/>
  <c r="BL9" i="3"/>
  <c r="BM9" i="3"/>
  <c r="BS14" i="3"/>
  <c r="BS2" i="3"/>
  <c r="O12" i="11"/>
  <c r="O7" i="11"/>
  <c r="BD19" i="1"/>
  <c r="AD19" i="1" s="1"/>
  <c r="BD21" i="1"/>
  <c r="AD21" i="1" s="1"/>
  <c r="AZ20" i="1"/>
  <c r="Z20" i="1" s="1"/>
  <c r="BD22" i="1"/>
  <c r="AD22" i="1" s="1"/>
  <c r="BF19" i="1"/>
  <c r="BF21" i="1"/>
  <c r="BF22" i="1"/>
  <c r="BB19" i="1"/>
  <c r="BB21" i="1"/>
  <c r="BB22" i="1"/>
  <c r="BD7" i="1"/>
  <c r="AD7" i="1" s="1"/>
  <c r="BB7" i="1"/>
  <c r="BF7" i="1" s="1"/>
  <c r="BF6" i="1"/>
  <c r="BF5" i="1"/>
  <c r="BF4" i="1"/>
  <c r="BF3" i="1"/>
  <c r="BD3" i="1"/>
  <c r="AD3" i="1" s="1"/>
  <c r="BD4" i="1"/>
  <c r="AD4" i="1" s="1"/>
  <c r="BD5" i="1"/>
  <c r="AD5" i="1" s="1"/>
  <c r="BD6" i="1"/>
  <c r="AD6" i="1" s="1"/>
  <c r="I169" i="16"/>
  <c r="I136" i="16"/>
  <c r="I138" i="16" s="1"/>
  <c r="I165" i="16" s="1"/>
  <c r="I168" i="16"/>
  <c r="J167" i="16" s="1"/>
  <c r="I167" i="16"/>
  <c r="H136" i="16"/>
  <c r="H169" i="16"/>
  <c r="H168" i="16"/>
  <c r="H167" i="16"/>
  <c r="G136" i="16"/>
  <c r="G169" i="16"/>
  <c r="G168" i="16"/>
  <c r="G167" i="16"/>
  <c r="F167" i="16"/>
  <c r="E136" i="16"/>
  <c r="D169" i="16"/>
  <c r="E169" i="16"/>
  <c r="E168" i="16"/>
  <c r="E167" i="16"/>
  <c r="D136" i="16"/>
  <c r="D138" i="16" s="1"/>
  <c r="D165" i="16" s="1"/>
  <c r="D168" i="16"/>
  <c r="D167" i="16"/>
  <c r="C169" i="16"/>
  <c r="C136" i="16"/>
  <c r="C138" i="16" s="1"/>
  <c r="C165" i="16" s="1"/>
  <c r="C168" i="16"/>
  <c r="C167" i="16"/>
  <c r="G138" i="16"/>
  <c r="G165" i="16" s="1"/>
  <c r="H138" i="16"/>
  <c r="H165" i="16" s="1"/>
  <c r="F167" i="17"/>
  <c r="E169" i="17"/>
  <c r="C169" i="17"/>
  <c r="E136" i="17"/>
  <c r="E138" i="17"/>
  <c r="E165" i="17"/>
  <c r="E168" i="17"/>
  <c r="C136" i="17"/>
  <c r="C138" i="17"/>
  <c r="C165" i="17"/>
  <c r="C168" i="17"/>
  <c r="C167" i="17"/>
  <c r="E167" i="17"/>
  <c r="F138" i="16"/>
  <c r="F165" i="16" s="1"/>
  <c r="J165" i="16"/>
  <c r="D148" i="18"/>
  <c r="E148" i="18"/>
  <c r="F138" i="17"/>
  <c r="F165" i="17"/>
  <c r="BX15" i="3"/>
  <c r="BX16" i="3"/>
  <c r="BX18" i="3"/>
  <c r="BX19" i="3"/>
  <c r="BX20" i="3"/>
  <c r="BX21" i="3"/>
  <c r="BX3" i="3"/>
  <c r="BX4" i="3"/>
  <c r="BX6" i="3"/>
  <c r="BX7" i="3"/>
  <c r="BX8" i="3"/>
  <c r="BX9" i="3"/>
  <c r="CC14" i="3"/>
  <c r="CC2" i="3"/>
  <c r="BJ7" i="1"/>
  <c r="BN7" i="1" s="1"/>
  <c r="E157" i="16"/>
  <c r="E155" i="16"/>
  <c r="E150" i="16"/>
  <c r="E145" i="16"/>
  <c r="E140" i="16"/>
  <c r="E135" i="16"/>
  <c r="E132" i="16"/>
  <c r="E129" i="16"/>
  <c r="E27" i="16"/>
  <c r="E26" i="16"/>
  <c r="E15" i="16"/>
  <c r="E14" i="16"/>
  <c r="E11" i="16"/>
  <c r="E10" i="16"/>
  <c r="E9" i="16"/>
  <c r="E7" i="16"/>
  <c r="E5" i="16"/>
  <c r="C18" i="19"/>
  <c r="AZ12" i="4"/>
  <c r="O19" i="11"/>
  <c r="O18" i="11"/>
  <c r="O17" i="11"/>
  <c r="O5" i="11"/>
  <c r="O8" i="11"/>
  <c r="O9" i="11"/>
  <c r="O10" i="11"/>
  <c r="O11" i="11"/>
  <c r="O13" i="11"/>
  <c r="BR7" i="1"/>
  <c r="E157" i="17"/>
  <c r="AY12" i="4"/>
  <c r="AW10" i="4"/>
  <c r="AW9" i="4"/>
  <c r="AW8" i="4"/>
  <c r="AW7" i="4"/>
  <c r="AW5" i="4"/>
  <c r="AV10" i="4"/>
  <c r="AV9" i="4"/>
  <c r="AV8" i="4"/>
  <c r="AV7" i="4"/>
  <c r="AV5" i="4"/>
  <c r="AV4" i="4"/>
  <c r="CG21" i="3"/>
  <c r="CG20" i="3"/>
  <c r="CG19" i="3"/>
  <c r="CG18" i="3"/>
  <c r="CG16" i="3"/>
  <c r="CG15" i="3"/>
  <c r="CF21" i="3"/>
  <c r="CF20" i="3"/>
  <c r="CF19" i="3"/>
  <c r="CF18" i="3"/>
  <c r="CF16" i="3"/>
  <c r="CF15" i="3"/>
  <c r="CE21" i="3"/>
  <c r="CE20" i="3"/>
  <c r="CE19" i="3"/>
  <c r="CE18" i="3"/>
  <c r="CE16" i="3"/>
  <c r="CE15" i="3"/>
  <c r="S16" i="11"/>
  <c r="BZ19" i="1"/>
  <c r="BZ20" i="1"/>
  <c r="BV20" i="1" s="1"/>
  <c r="BZ21" i="1"/>
  <c r="BV21" i="1" s="1"/>
  <c r="BZ22" i="1"/>
  <c r="BV22" i="1" s="1"/>
  <c r="BZ7" i="1"/>
  <c r="BV6" i="1"/>
  <c r="BV5" i="1"/>
  <c r="BV4" i="1"/>
  <c r="BV3" i="1"/>
  <c r="BC12" i="4"/>
  <c r="AW4" i="4"/>
  <c r="BB12" i="4"/>
  <c r="CE9" i="3"/>
  <c r="CE3" i="3"/>
  <c r="CE6" i="3"/>
  <c r="CE7" i="3"/>
  <c r="CG7" i="3"/>
  <c r="BT6" i="1"/>
  <c r="CF7" i="3"/>
  <c r="CE8" i="3"/>
  <c r="CG6" i="3"/>
  <c r="CG3" i="3"/>
  <c r="CE4" i="3"/>
  <c r="CG9" i="3"/>
  <c r="CF9" i="3"/>
  <c r="CG8" i="3"/>
  <c r="CG4" i="3"/>
  <c r="CF6" i="3"/>
  <c r="BT3" i="1"/>
  <c r="CF3" i="3"/>
  <c r="CF4" i="3"/>
  <c r="CF8" i="3"/>
  <c r="BT5" i="1"/>
  <c r="BT4" i="1"/>
  <c r="U6" i="11"/>
  <c r="CW21" i="3"/>
  <c r="CW20" i="3"/>
  <c r="CW19" i="3"/>
  <c r="CW18" i="3"/>
  <c r="CW16" i="3"/>
  <c r="CW15" i="3"/>
  <c r="CW9" i="3"/>
  <c r="CW8" i="3"/>
  <c r="CW7" i="3"/>
  <c r="CW6" i="3"/>
  <c r="CW4" i="3"/>
  <c r="CW3" i="3"/>
  <c r="DB2" i="3"/>
  <c r="CD19" i="1"/>
  <c r="CH19" i="1" s="1"/>
  <c r="CD21" i="1"/>
  <c r="CH21" i="1" s="1"/>
  <c r="CD22" i="1"/>
  <c r="CH22" i="1" s="1"/>
  <c r="CB20" i="1"/>
  <c r="CF20" i="1" s="1"/>
  <c r="BI12" i="4"/>
  <c r="BH12" i="4"/>
  <c r="CD18" i="1"/>
  <c r="CB18" i="1"/>
  <c r="CF22" i="1"/>
  <c r="CF21" i="1"/>
  <c r="CF19" i="1"/>
  <c r="CF7" i="1"/>
  <c r="CD7" i="1"/>
  <c r="CH7" i="1" s="1"/>
  <c r="BF9" i="4"/>
  <c r="BF8" i="4"/>
  <c r="BF7" i="4"/>
  <c r="BF5" i="4"/>
  <c r="BF4" i="4"/>
  <c r="BE10" i="4"/>
  <c r="BE9" i="4"/>
  <c r="BE7" i="4"/>
  <c r="BE5" i="4"/>
  <c r="BE4" i="4"/>
  <c r="DG21" i="3"/>
  <c r="DG20" i="3"/>
  <c r="DG19" i="3"/>
  <c r="DG18" i="3"/>
  <c r="DG15" i="3"/>
  <c r="CV21" i="3"/>
  <c r="CV20" i="3"/>
  <c r="CV19" i="3"/>
  <c r="CV18" i="3"/>
  <c r="CV16" i="3"/>
  <c r="CV15" i="3"/>
  <c r="CU21" i="3"/>
  <c r="CU20" i="3"/>
  <c r="CU19" i="3"/>
  <c r="CU18" i="3"/>
  <c r="CU16" i="3"/>
  <c r="CU15" i="3"/>
  <c r="CT21" i="3"/>
  <c r="CT20" i="3"/>
  <c r="CT19" i="3"/>
  <c r="CT18" i="3"/>
  <c r="CT16" i="3"/>
  <c r="CT15" i="3"/>
  <c r="DG9" i="3"/>
  <c r="DG8" i="3"/>
  <c r="DG7" i="3"/>
  <c r="DG6" i="3"/>
  <c r="DG4" i="3"/>
  <c r="DG3" i="3"/>
  <c r="CV9" i="3"/>
  <c r="CV8" i="3"/>
  <c r="CV7" i="3"/>
  <c r="CV6" i="3"/>
  <c r="CV4" i="3"/>
  <c r="CV3" i="3"/>
  <c r="CU9" i="3"/>
  <c r="CU8" i="3"/>
  <c r="CU7" i="3"/>
  <c r="CU6" i="3"/>
  <c r="CU4" i="3"/>
  <c r="CU3" i="3"/>
  <c r="CT9" i="3"/>
  <c r="CT8" i="3"/>
  <c r="CT7" i="3"/>
  <c r="CT6" i="3"/>
  <c r="CT4" i="3"/>
  <c r="CT3" i="3"/>
  <c r="DL2" i="3"/>
  <c r="W18" i="11"/>
  <c r="V18" i="11" s="1"/>
  <c r="T18" i="11" s="1"/>
  <c r="X6" i="11"/>
  <c r="W6" i="11"/>
  <c r="V10" i="11"/>
  <c r="T10" i="11" s="1"/>
  <c r="V9" i="11"/>
  <c r="T9" i="11"/>
  <c r="CH6" i="1"/>
  <c r="CH5" i="1"/>
  <c r="CH4" i="1"/>
  <c r="CF6" i="1"/>
  <c r="CF4" i="1"/>
  <c r="CF3" i="1"/>
  <c r="CL7" i="1"/>
  <c r="CP7" i="1" s="1"/>
  <c r="CP22" i="1"/>
  <c r="CN22" i="1"/>
  <c r="BN22" i="1" s="1"/>
  <c r="CP21" i="1"/>
  <c r="CN21" i="1"/>
  <c r="BN21" i="1" s="1"/>
  <c r="CP20" i="1"/>
  <c r="CN20" i="1"/>
  <c r="BN20" i="1" s="1"/>
  <c r="CP19" i="1"/>
  <c r="CN19" i="1"/>
  <c r="BN19" i="1" s="1"/>
  <c r="CN7" i="1"/>
  <c r="CN6" i="1"/>
  <c r="BL7" i="4"/>
  <c r="BL5" i="4"/>
  <c r="BQ10" i="4"/>
  <c r="BQ7" i="4"/>
  <c r="DO6" i="3"/>
  <c r="DN7" i="3"/>
  <c r="DO7" i="3"/>
  <c r="DQ21" i="3"/>
  <c r="DQ20" i="3"/>
  <c r="DQ19" i="3"/>
  <c r="DQ18" i="3"/>
  <c r="DQ16" i="3"/>
  <c r="DQ15" i="3"/>
  <c r="DP20" i="3"/>
  <c r="DO21" i="3"/>
  <c r="DO20" i="3"/>
  <c r="DO19" i="3"/>
  <c r="DO18" i="3"/>
  <c r="DO16" i="3"/>
  <c r="DN20" i="3"/>
  <c r="DD16" i="3"/>
  <c r="DQ9" i="3"/>
  <c r="DQ8" i="3"/>
  <c r="DQ7" i="3"/>
  <c r="DQ6" i="3"/>
  <c r="DQ4" i="3"/>
  <c r="DQ3" i="3"/>
  <c r="DP4" i="3"/>
  <c r="DP3" i="3"/>
  <c r="DO8" i="3"/>
  <c r="DD9" i="3"/>
  <c r="DV2" i="3"/>
  <c r="W17" i="11"/>
  <c r="W19" i="11" s="1"/>
  <c r="V19" i="11" s="1"/>
  <c r="T19" i="11" s="1"/>
  <c r="T17" i="11"/>
  <c r="W13" i="11"/>
  <c r="T13" i="11" s="1"/>
  <c r="W11" i="11"/>
  <c r="T11" i="11" s="1"/>
  <c r="W8" i="11"/>
  <c r="V8" i="11" s="1"/>
  <c r="T8" i="11" s="1"/>
  <c r="W7" i="11"/>
  <c r="V7" i="11" s="1"/>
  <c r="T7" i="11" s="1"/>
  <c r="DB19" i="1"/>
  <c r="CX19" i="1" s="1"/>
  <c r="DB20" i="1"/>
  <c r="CX20" i="1" s="1"/>
  <c r="DB21" i="1"/>
  <c r="CX21" i="1" s="1"/>
  <c r="DB22" i="1"/>
  <c r="CX22" i="1" s="1"/>
  <c r="CV19" i="1"/>
  <c r="CV20" i="1"/>
  <c r="CV21" i="1"/>
  <c r="CV22" i="1"/>
  <c r="CX7" i="1"/>
  <c r="CV7" i="1"/>
  <c r="BV7" i="1" s="1"/>
  <c r="DB6" i="1"/>
  <c r="CX6" i="1" s="1"/>
  <c r="DB5" i="1"/>
  <c r="CX5" i="1" s="1"/>
  <c r="DB4" i="1"/>
  <c r="CX4" i="1" s="1"/>
  <c r="DB3" i="1"/>
  <c r="CX3" i="1" s="1"/>
  <c r="CV3" i="1"/>
  <c r="T5" i="11"/>
  <c r="T12" i="11"/>
  <c r="T16" i="11"/>
  <c r="U16" i="11"/>
  <c r="V16" i="11"/>
  <c r="W16" i="11"/>
  <c r="X16" i="11"/>
  <c r="DB18" i="1"/>
  <c r="CZ18" i="1"/>
  <c r="DB7" i="1"/>
  <c r="EF6" i="3"/>
  <c r="EF22" i="3"/>
  <c r="EF20" i="3"/>
  <c r="EF15" i="3"/>
  <c r="EF21" i="3"/>
  <c r="EF19" i="3"/>
  <c r="EF18" i="3"/>
  <c r="EF16" i="3"/>
  <c r="EF10" i="3"/>
  <c r="EF9" i="3"/>
  <c r="EF8" i="3"/>
  <c r="EF7" i="3"/>
  <c r="EF4" i="3"/>
  <c r="EF3" i="3"/>
  <c r="EC10" i="3"/>
  <c r="EK2" i="3"/>
  <c r="Z17" i="11"/>
  <c r="Z5" i="11"/>
  <c r="Z7" i="11"/>
  <c r="Z8" i="11"/>
  <c r="Z10" i="11"/>
  <c r="Z11" i="11"/>
  <c r="Z12" i="11"/>
  <c r="Z13" i="11"/>
  <c r="Y6" i="11"/>
  <c r="Z6" i="11" s="1"/>
  <c r="DD20" i="1"/>
  <c r="CD20" i="1" s="1"/>
  <c r="CH20" i="1" s="1"/>
  <c r="DH22" i="1"/>
  <c r="DF22" i="1"/>
  <c r="DN22" i="1"/>
  <c r="DR22" i="1" s="1"/>
  <c r="DH21" i="1"/>
  <c r="DF21" i="1"/>
  <c r="DN21" i="1"/>
  <c r="DR21" i="1" s="1"/>
  <c r="DF20" i="1"/>
  <c r="DH19" i="1"/>
  <c r="DF19" i="1"/>
  <c r="DN19" i="1"/>
  <c r="DR19" i="1" s="1"/>
  <c r="DF18" i="1"/>
  <c r="DD18" i="1"/>
  <c r="DH7" i="1"/>
  <c r="DF7" i="1"/>
  <c r="DJ7" i="1" s="1"/>
  <c r="BZ9" i="4"/>
  <c r="CG5" i="4"/>
  <c r="CM8" i="4"/>
  <c r="CG9" i="4"/>
  <c r="CL4" i="4"/>
  <c r="CF7" i="4"/>
  <c r="CL9" i="4"/>
  <c r="CF11" i="4"/>
  <c r="EP22" i="3"/>
  <c r="EP21" i="3"/>
  <c r="EP20" i="3"/>
  <c r="EP19" i="3"/>
  <c r="EP18" i="3"/>
  <c r="EP16" i="3"/>
  <c r="EP15" i="3"/>
  <c r="EP10" i="3"/>
  <c r="EP9" i="3"/>
  <c r="EP8" i="3"/>
  <c r="EP7" i="3"/>
  <c r="EP6" i="3"/>
  <c r="EE6" i="3"/>
  <c r="EP4" i="3"/>
  <c r="EP3" i="3"/>
  <c r="EU2" i="3"/>
  <c r="AA18" i="11"/>
  <c r="AA19" i="11"/>
  <c r="AA16" i="11"/>
  <c r="AA9" i="11"/>
  <c r="Z9" i="11" s="1"/>
  <c r="DP22" i="1"/>
  <c r="DP21" i="1"/>
  <c r="DN20" i="1"/>
  <c r="DR20" i="1" s="1"/>
  <c r="DT20" i="1"/>
  <c r="DP20" i="1" s="1"/>
  <c r="DP19" i="1"/>
  <c r="DN18" i="1"/>
  <c r="DL18" i="1"/>
  <c r="DN7" i="1"/>
  <c r="DR7" i="1" s="1"/>
  <c r="DP7" i="1"/>
  <c r="EW15" i="3"/>
  <c r="EX15" i="3"/>
  <c r="EY15" i="3"/>
  <c r="EW18" i="3"/>
  <c r="EX18" i="3"/>
  <c r="EY18" i="3"/>
  <c r="EW19" i="3"/>
  <c r="EX19" i="3"/>
  <c r="EY19" i="3"/>
  <c r="EW20" i="3"/>
  <c r="EX20" i="3"/>
  <c r="EY20" i="3"/>
  <c r="EW21" i="3"/>
  <c r="EX21" i="3"/>
  <c r="EY21" i="3"/>
  <c r="EW3" i="3"/>
  <c r="EX3" i="3"/>
  <c r="EY3" i="3"/>
  <c r="EW6" i="3"/>
  <c r="EX6" i="3"/>
  <c r="EY6" i="3"/>
  <c r="EW7" i="3"/>
  <c r="EX7" i="3"/>
  <c r="EY7" i="3"/>
  <c r="EW8" i="3"/>
  <c r="EX8" i="3"/>
  <c r="EY8" i="3"/>
  <c r="EW9" i="3"/>
  <c r="EX9" i="3"/>
  <c r="EY9" i="3"/>
  <c r="AB18" i="11"/>
  <c r="AB19" i="11" s="1"/>
  <c r="DZ22" i="1"/>
  <c r="DZ21" i="1"/>
  <c r="DZ20" i="1"/>
  <c r="DZ19" i="1"/>
  <c r="DX19" i="1"/>
  <c r="DX21" i="1"/>
  <c r="DX22" i="1"/>
  <c r="DZ7" i="1"/>
  <c r="DX7" i="1"/>
  <c r="CY12" i="4"/>
  <c r="CX12" i="4"/>
  <c r="CV12" i="4"/>
  <c r="CU12" i="4"/>
  <c r="DE12" i="4"/>
  <c r="DD12" i="4"/>
  <c r="DB12" i="4"/>
  <c r="DA12" i="4"/>
  <c r="DH12" i="4"/>
  <c r="DI12" i="4"/>
  <c r="DK12" i="4"/>
  <c r="DL12" i="4"/>
  <c r="DO12" i="4"/>
  <c r="DN12" i="4"/>
  <c r="DT4" i="4"/>
  <c r="DT5" i="4"/>
  <c r="DT8" i="4"/>
  <c r="DT9" i="4"/>
  <c r="DT10" i="4"/>
  <c r="DU5" i="4"/>
  <c r="DU8" i="4"/>
  <c r="DU9" i="4"/>
  <c r="DU10" i="4"/>
  <c r="HE26" i="4"/>
  <c r="HD26" i="4"/>
  <c r="HB26" i="4"/>
  <c r="HA26" i="4"/>
  <c r="GY26" i="4"/>
  <c r="GX26" i="4"/>
  <c r="HH15" i="4"/>
  <c r="HG15" i="4"/>
  <c r="HE15" i="4"/>
  <c r="HD15" i="4"/>
  <c r="HB15" i="4"/>
  <c r="HA15" i="4"/>
  <c r="GY15" i="4"/>
  <c r="GX15" i="4"/>
  <c r="GU12" i="4"/>
  <c r="GT12" i="4"/>
  <c r="GR12" i="4"/>
  <c r="GQ12" i="4"/>
  <c r="GO12" i="4"/>
  <c r="GN12" i="4"/>
  <c r="GL12" i="4"/>
  <c r="GK12" i="4"/>
  <c r="GI12" i="4"/>
  <c r="GH12" i="4"/>
  <c r="GF12" i="4"/>
  <c r="GE12" i="4"/>
  <c r="GC12" i="4"/>
  <c r="GB12" i="4"/>
  <c r="FZ12" i="4"/>
  <c r="FY12" i="4"/>
  <c r="FW12" i="4"/>
  <c r="FV12" i="4"/>
  <c r="FT12" i="4"/>
  <c r="FS12" i="4"/>
  <c r="FQ12" i="4"/>
  <c r="FP12" i="4"/>
  <c r="FN12" i="4"/>
  <c r="FM12" i="4"/>
  <c r="FK12" i="4"/>
  <c r="FJ12" i="4"/>
  <c r="FH12" i="4"/>
  <c r="FG12" i="4"/>
  <c r="FE12" i="4"/>
  <c r="FD12" i="4"/>
  <c r="FB12" i="4"/>
  <c r="FA12" i="4"/>
  <c r="EY12" i="4"/>
  <c r="EX12" i="4"/>
  <c r="EV12" i="4"/>
  <c r="EU12" i="4"/>
  <c r="ES12" i="4"/>
  <c r="ER12" i="4"/>
  <c r="EP12" i="4"/>
  <c r="EO12" i="4"/>
  <c r="EM12" i="4"/>
  <c r="EL12" i="4"/>
  <c r="EJ12" i="4"/>
  <c r="EI12" i="4"/>
  <c r="EG12" i="4"/>
  <c r="EF12" i="4"/>
  <c r="ED12" i="4"/>
  <c r="EC12" i="4"/>
  <c r="EA12" i="4"/>
  <c r="DZ12" i="4"/>
  <c r="DX12" i="4"/>
  <c r="DW12" i="4"/>
  <c r="JG21" i="3"/>
  <c r="JF21" i="3"/>
  <c r="JE21" i="3"/>
  <c r="JD21" i="3"/>
  <c r="JG20" i="3"/>
  <c r="JF20" i="3"/>
  <c r="JE20" i="3"/>
  <c r="JD20" i="3"/>
  <c r="JG19" i="3"/>
  <c r="JF19" i="3"/>
  <c r="JE19" i="3"/>
  <c r="JD19" i="3"/>
  <c r="JG16" i="3"/>
  <c r="JF16" i="3"/>
  <c r="JE16" i="3"/>
  <c r="JD16" i="3"/>
  <c r="JG15" i="3"/>
  <c r="JF15" i="3"/>
  <c r="JE15" i="3"/>
  <c r="JD15" i="3"/>
  <c r="JG9" i="3"/>
  <c r="JF9" i="3"/>
  <c r="JE9" i="3"/>
  <c r="JD9" i="3"/>
  <c r="JG8" i="3"/>
  <c r="JF8" i="3"/>
  <c r="JE8" i="3"/>
  <c r="JD8" i="3"/>
  <c r="JG7" i="3"/>
  <c r="JF7" i="3"/>
  <c r="JE7" i="3"/>
  <c r="JD7" i="3"/>
  <c r="JG4" i="3"/>
  <c r="JF4" i="3"/>
  <c r="JE4" i="3"/>
  <c r="JD4" i="3"/>
  <c r="JG3" i="3"/>
  <c r="JF3" i="3"/>
  <c r="JE3" i="3"/>
  <c r="JD3" i="3"/>
  <c r="C18" i="2"/>
  <c r="AS17" i="11"/>
  <c r="AN17" i="11"/>
  <c r="AS7" i="11"/>
  <c r="AR7" i="11"/>
  <c r="AN7" i="11"/>
  <c r="HC22" i="1"/>
  <c r="GU22" i="1" s="1"/>
  <c r="GS22" i="1"/>
  <c r="HC21" i="1"/>
  <c r="GU21" i="1" s="1"/>
  <c r="GS21" i="1"/>
  <c r="HC20" i="1"/>
  <c r="GU20" i="1" s="1"/>
  <c r="GS20" i="1"/>
  <c r="HE19" i="1"/>
  <c r="HC19" i="1"/>
  <c r="GU19" i="1" s="1"/>
  <c r="GS19" i="1"/>
  <c r="HC7" i="1"/>
  <c r="HG7" i="1"/>
  <c r="HE7" i="1"/>
  <c r="GU7" i="1"/>
  <c r="GS7" i="1"/>
  <c r="HG6" i="1"/>
  <c r="HE6" i="1"/>
  <c r="GU6" i="1"/>
  <c r="GS6" i="1"/>
  <c r="HG5" i="1"/>
  <c r="HE5" i="1"/>
  <c r="GU5" i="1"/>
  <c r="GS5" i="1"/>
  <c r="HG4" i="1"/>
  <c r="HE4" i="1"/>
  <c r="GU4" i="1"/>
  <c r="GS4" i="1"/>
  <c r="HG3" i="1"/>
  <c r="HE3" i="1"/>
  <c r="GU3" i="1"/>
  <c r="GS3" i="1"/>
  <c r="DU4" i="4"/>
  <c r="DF6" i="3"/>
  <c r="DN21" i="3"/>
  <c r="CM10" i="4"/>
  <c r="BR8" i="4"/>
  <c r="EC9" i="3"/>
  <c r="DP7" i="3"/>
  <c r="BZ7" i="4"/>
  <c r="DG16" i="3"/>
  <c r="BZ11" i="4"/>
  <c r="EX10" i="3"/>
  <c r="EX4" i="3"/>
  <c r="EE21" i="3"/>
  <c r="ED20" i="3"/>
  <c r="DE4" i="3"/>
  <c r="ED7" i="3"/>
  <c r="EE10" i="3"/>
  <c r="DJ4" i="1"/>
  <c r="CM5" i="4"/>
  <c r="CM9" i="4"/>
  <c r="CG8" i="4"/>
  <c r="EE4" i="3"/>
  <c r="CP5" i="1"/>
  <c r="BQ5" i="4"/>
  <c r="CF9" i="4"/>
  <c r="EC20" i="3"/>
  <c r="CA10" i="4"/>
  <c r="DO4" i="3"/>
  <c r="EX16" i="3"/>
  <c r="CL11" i="4"/>
  <c r="CL7" i="4"/>
  <c r="BR10" i="4"/>
  <c r="BR4" i="4"/>
  <c r="BR5" i="4"/>
  <c r="BR7" i="4"/>
  <c r="BR9" i="4"/>
  <c r="CL10" i="4"/>
  <c r="BX12" i="4"/>
  <c r="CA8" i="4"/>
  <c r="CA5" i="4"/>
  <c r="CA7" i="4"/>
  <c r="CG11" i="4"/>
  <c r="EE22" i="3"/>
  <c r="DP15" i="3"/>
  <c r="DE19" i="3"/>
  <c r="DP6" i="3"/>
  <c r="DP9" i="3"/>
  <c r="DN16" i="3"/>
  <c r="DO9" i="3"/>
  <c r="ED21" i="3"/>
  <c r="DN18" i="3"/>
  <c r="DP21" i="3"/>
  <c r="EW22" i="3"/>
  <c r="DO3" i="3"/>
  <c r="EC15" i="3"/>
  <c r="EE15" i="3"/>
  <c r="EC16" i="3"/>
  <c r="DD8" i="3"/>
  <c r="DP19" i="3"/>
  <c r="DE8" i="3"/>
  <c r="EC22" i="3"/>
  <c r="EE3" i="3"/>
  <c r="DF21" i="3"/>
  <c r="DR3" i="1"/>
  <c r="DJ6" i="1"/>
  <c r="DH4" i="1"/>
  <c r="DP6" i="1"/>
  <c r="CF4" i="4"/>
  <c r="CL8" i="4"/>
  <c r="BZ5" i="4"/>
  <c r="CG10" i="4"/>
  <c r="CF5" i="4"/>
  <c r="CF8" i="4"/>
  <c r="CJ12" i="4"/>
  <c r="ED8" i="3"/>
  <c r="ED10" i="3"/>
  <c r="ED9" i="3"/>
  <c r="DD3" i="3"/>
  <c r="DN19" i="3"/>
  <c r="EE9" i="3"/>
  <c r="EX22" i="3"/>
  <c r="ED16" i="3"/>
  <c r="EE20" i="3"/>
  <c r="ED19" i="3"/>
  <c r="EY22" i="3"/>
  <c r="BL4" i="4"/>
  <c r="ED15" i="3"/>
  <c r="DD21" i="3"/>
  <c r="DN9" i="3"/>
  <c r="EE8" i="3"/>
  <c r="DR6" i="1"/>
  <c r="DH3" i="1"/>
  <c r="EW10" i="3"/>
  <c r="EY16" i="3"/>
  <c r="DJ3" i="1"/>
  <c r="EE7" i="3"/>
  <c r="ED18" i="3"/>
  <c r="ED22" i="3"/>
  <c r="DN4" i="3"/>
  <c r="DD15" i="3"/>
  <c r="DN15" i="3"/>
  <c r="CV4" i="1"/>
  <c r="EW16" i="3"/>
  <c r="DP5" i="1"/>
  <c r="EC8" i="3"/>
  <c r="DJ5" i="1"/>
  <c r="BZ10" i="4"/>
  <c r="CA11" i="4"/>
  <c r="DN6" i="3"/>
  <c r="BQ4" i="4"/>
  <c r="BQ9" i="4"/>
  <c r="CN3" i="1"/>
  <c r="DN8" i="3"/>
  <c r="EY4" i="3"/>
  <c r="EW4" i="3"/>
  <c r="DR4" i="1"/>
  <c r="CM7" i="4"/>
  <c r="DH6" i="1"/>
  <c r="EE16" i="3"/>
  <c r="EE18" i="3"/>
  <c r="EC6" i="3"/>
  <c r="DP16" i="3"/>
  <c r="BK5" i="4"/>
  <c r="BL8" i="4"/>
  <c r="BW12" i="4"/>
  <c r="CV6" i="1"/>
  <c r="BL9" i="4"/>
  <c r="CI12" i="4"/>
  <c r="CL5" i="4"/>
  <c r="CF10" i="4"/>
  <c r="CM4" i="4"/>
  <c r="BQ8" i="4"/>
  <c r="BK8" i="4"/>
  <c r="BE8" i="4"/>
  <c r="BO12" i="4"/>
  <c r="BF10" i="4"/>
  <c r="CG7" i="4"/>
  <c r="CO12" i="4"/>
  <c r="BZ8" i="4"/>
  <c r="CA9" i="4"/>
  <c r="DD19" i="3"/>
  <c r="DF4" i="3"/>
  <c r="EC7" i="3"/>
  <c r="DE7" i="3"/>
  <c r="DE9" i="3"/>
  <c r="EY10" i="3"/>
  <c r="EC3" i="3"/>
  <c r="EC19" i="3"/>
  <c r="DD20" i="3"/>
  <c r="EC18" i="3"/>
  <c r="EC4" i="3"/>
  <c r="DP8" i="3"/>
  <c r="DO15" i="3"/>
  <c r="DP18" i="3"/>
  <c r="DD6" i="3"/>
  <c r="DD18" i="3"/>
  <c r="EC21" i="3"/>
  <c r="ED3" i="3"/>
  <c r="ED4" i="3"/>
  <c r="DE6" i="3"/>
  <c r="DF3" i="3"/>
  <c r="BK9" i="4"/>
  <c r="CV5" i="1"/>
  <c r="BL10" i="4"/>
  <c r="CP3" i="1"/>
  <c r="CH3" i="1"/>
  <c r="DF16" i="3"/>
  <c r="BK10" i="4"/>
  <c r="DD7" i="3"/>
  <c r="DN3" i="3"/>
  <c r="BN12" i="4"/>
  <c r="DF18" i="3"/>
  <c r="CC12" i="4"/>
  <c r="CD12" i="4"/>
  <c r="DF7" i="3"/>
  <c r="DE16" i="3"/>
  <c r="DF19" i="3"/>
  <c r="DE21" i="3"/>
  <c r="DF8" i="3"/>
  <c r="BK4" i="4"/>
  <c r="CN5" i="1"/>
  <c r="CF5" i="1"/>
  <c r="DE15" i="3"/>
  <c r="DF9" i="3"/>
  <c r="DD4" i="3"/>
  <c r="BK7" i="4"/>
  <c r="ED6" i="3"/>
  <c r="EE19" i="3"/>
  <c r="DE20" i="3"/>
  <c r="CP6" i="1"/>
  <c r="DH5" i="1"/>
  <c r="CN4" i="1"/>
  <c r="DR5" i="1"/>
  <c r="CP4" i="1"/>
  <c r="DP3" i="1"/>
  <c r="DP4" i="1"/>
  <c r="BZ4" i="4"/>
  <c r="CM11" i="4"/>
  <c r="BT12" i="4"/>
  <c r="CR12" i="4"/>
  <c r="CA4" i="4"/>
  <c r="DR12" i="4"/>
  <c r="DF20" i="3"/>
  <c r="DE3" i="3"/>
  <c r="CP12" i="4"/>
  <c r="CS12" i="4"/>
  <c r="DF15" i="3"/>
  <c r="DQ12" i="4"/>
  <c r="CG4" i="4"/>
  <c r="BU12" i="4"/>
  <c r="DE18" i="3"/>
  <c r="T14" i="11" a="1"/>
  <c r="O14" i="11" a="1"/>
  <c r="AB4" i="1" l="1"/>
  <c r="F4" i="1"/>
  <c r="J4" i="1" s="1"/>
  <c r="AB5" i="1"/>
  <c r="F5" i="1"/>
  <c r="J5" i="1" s="1"/>
  <c r="AB6" i="1"/>
  <c r="F6" i="1"/>
  <c r="J6" i="1" s="1"/>
  <c r="BT20" i="1"/>
  <c r="DJ21" i="1"/>
  <c r="BF12" i="4"/>
  <c r="DU12" i="4"/>
  <c r="BZ12" i="4"/>
  <c r="BL12" i="4"/>
  <c r="BQ12" i="4"/>
  <c r="O6" i="11"/>
  <c r="T6" i="11"/>
  <c r="Z19" i="11"/>
  <c r="Z18" i="11"/>
  <c r="BF20" i="1"/>
  <c r="DJ19" i="1"/>
  <c r="DH20" i="1"/>
  <c r="DJ20" i="1"/>
  <c r="DJ22" i="1"/>
  <c r="AT4" i="1"/>
  <c r="CA12" i="4"/>
  <c r="CL12" i="4"/>
  <c r="CF12" i="4"/>
  <c r="BR12" i="4"/>
  <c r="DT12" i="4"/>
  <c r="BK12" i="4"/>
  <c r="AV12" i="4"/>
  <c r="AW12" i="4"/>
  <c r="CM12" i="4"/>
  <c r="CG12" i="4"/>
  <c r="BE12" i="4"/>
  <c r="DX20" i="1"/>
  <c r="BD20" i="1"/>
  <c r="AD20" i="1" s="1"/>
  <c r="AR3" i="1"/>
  <c r="AR4" i="1"/>
  <c r="AT5" i="1"/>
  <c r="AT6" i="1"/>
  <c r="AR6" i="1"/>
  <c r="AR5" i="1"/>
  <c r="AT3" i="1"/>
  <c r="BB20" i="1"/>
  <c r="C24" i="2"/>
  <c r="C51" i="2"/>
  <c r="C24" i="19"/>
  <c r="E138" i="16"/>
  <c r="E165" i="16"/>
  <c r="O14" i="11"/>
  <c r="T14" i="1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<sst xmlns="http://schemas.openxmlformats.org/spreadsheetml/2006/main" count="2016" uniqueCount="926">
  <si>
    <t>Jednostka</t>
  </si>
  <si>
    <t>EBITDA</t>
  </si>
  <si>
    <t>CAPEX</t>
  </si>
  <si>
    <t>TWh</t>
  </si>
  <si>
    <t>blok biomasowy</t>
  </si>
  <si>
    <t>Łaziska</t>
  </si>
  <si>
    <t>Łagisza</t>
  </si>
  <si>
    <t>Siersza</t>
  </si>
  <si>
    <t>Blachownia</t>
  </si>
  <si>
    <t>Stalowa Wola</t>
  </si>
  <si>
    <t>ZW Nowa</t>
  </si>
  <si>
    <t>ZW Katowice</t>
  </si>
  <si>
    <t>ZW Bielsko-Biała</t>
  </si>
  <si>
    <t>EC-1</t>
  </si>
  <si>
    <t>EC-2</t>
  </si>
  <si>
    <t>-</t>
  </si>
  <si>
    <t>Zagórze</t>
  </si>
  <si>
    <t>Lipniki</t>
  </si>
  <si>
    <t>Marszewo</t>
  </si>
  <si>
    <t>Wicko</t>
  </si>
  <si>
    <t>Segment Wydobycie</t>
  </si>
  <si>
    <t>Segment Wytwarzanie</t>
  </si>
  <si>
    <t>Segment Dystrybucja</t>
  </si>
  <si>
    <t>Segment OZE</t>
  </si>
  <si>
    <t>Segment Sprzedaż</t>
  </si>
  <si>
    <t>Segment Ciepło</t>
  </si>
  <si>
    <t>Pozostałe</t>
  </si>
  <si>
    <t>Segment Obsługa Klienta</t>
  </si>
  <si>
    <t>Nakłady inwestycyjne</t>
  </si>
  <si>
    <t>Bilans</t>
  </si>
  <si>
    <t>ZW Tychy (BC-50)</t>
  </si>
  <si>
    <t>TAURON WYTWARZANIE</t>
  </si>
  <si>
    <t>TAURON CIEPŁO</t>
  </si>
  <si>
    <t>TAURON EKOENERGIA</t>
  </si>
  <si>
    <t>PJ</t>
  </si>
  <si>
    <t>w tym: ze źródeł odnawialnych / including production from renewables</t>
  </si>
  <si>
    <t>biomasa /biomass</t>
  </si>
  <si>
    <t xml:space="preserve"> elektrownie wodne /  hydropower plants</t>
  </si>
  <si>
    <t xml:space="preserve"> elektrownie wiatrowe / wind farms</t>
  </si>
  <si>
    <t>Wytwarzanie ciepła / Heat production</t>
  </si>
  <si>
    <t>Dystrybucja energii elektrycznej / Electricity distribution</t>
  </si>
  <si>
    <t>Sprzedaż detaliczna energii elektrycznej / Retail sale of electricity</t>
  </si>
  <si>
    <t>Liczba klientów – Dystrybucja / No of customers - Distribution</t>
  </si>
  <si>
    <t>Sprzedaż węgla kamiennego /Hard coal sale</t>
  </si>
  <si>
    <t>Produkcja węgla handlowego / Commercial hard coal production</t>
  </si>
  <si>
    <t>tys. / thou.</t>
  </si>
  <si>
    <t>mln Mg (million tons)</t>
  </si>
  <si>
    <r>
      <t>Produkcja energii elektrycznej brutto/ Gross electricity production</t>
    </r>
    <r>
      <rPr>
        <sz val="15"/>
        <color rgb="FFFF0000"/>
        <rFont val="Arial"/>
        <family val="2"/>
        <charset val="238"/>
      </rPr>
      <t>*</t>
    </r>
  </si>
  <si>
    <t>Przychody ze sprzedaży / Sales revenue</t>
  </si>
  <si>
    <t>Zysk netto / Net profit</t>
  </si>
  <si>
    <t>Dług netto/EBITDA / Net debt/EBITDA ratio</t>
  </si>
  <si>
    <t>Produkcja węgla/ Hard coal production</t>
  </si>
  <si>
    <t>Wytwarzanie energii elektrycznej / Electricity generation</t>
  </si>
  <si>
    <t>mln t (million tons)</t>
  </si>
  <si>
    <t>Rodzaj jednostki / Type</t>
  </si>
  <si>
    <t>Energia elektryczna (MWe)* / Electric capacity</t>
  </si>
  <si>
    <t>Ciepło (MWt)*/ Thermal capacity</t>
  </si>
  <si>
    <t>Jaworzno III (bloki 1-6) / Jaworzno III (units 1-6)</t>
  </si>
  <si>
    <t>Jaworzno II (bloki 2 i 3) /  Jaworzno II (units 2 and 3)</t>
  </si>
  <si>
    <t>Generation unit</t>
  </si>
  <si>
    <t>Bloki 1 i 2 (units 1 and 2)</t>
  </si>
  <si>
    <t>Bloki 9-12 (units 9-12)</t>
  </si>
  <si>
    <t>Bloki 6-7 (units 6-7)</t>
  </si>
  <si>
    <t>Blok 10 (unit 10)</t>
  </si>
  <si>
    <t>Bloki 1-2 (units 1-2)</t>
  </si>
  <si>
    <t>Bloki 3 i 6 (units 3 and 6)</t>
  </si>
  <si>
    <t>Elektrownia / Power plant</t>
  </si>
  <si>
    <t>od 10 grudnia 2014 r. przekazana do spółki TAMEH Polska / since December 10, 2014 the unit was transferred to TAMEH Polska</t>
  </si>
  <si>
    <t>Bloki 7-8 (units 7-8)</t>
  </si>
  <si>
    <t>blok biomasowy / biomass unit</t>
  </si>
  <si>
    <t>Układ kolektorowy / collector system</t>
  </si>
  <si>
    <t>Pozostałe źródła (ciepłownie lokalne i Kamienna Góra) Other units (local heating plants and Kamienna Góra)</t>
  </si>
  <si>
    <t>Elektrociepłownia / CHP</t>
  </si>
  <si>
    <t>Elektrownie wodne / Hydropower plants</t>
  </si>
  <si>
    <t>Farmy wiatrowe / Wind farms</t>
  </si>
  <si>
    <t>* moc zainstalowana / installed capacity</t>
  </si>
  <si>
    <t>Wyniki segmentów / Segment's results</t>
  </si>
  <si>
    <t>Segment Wydobycie Mining Segment</t>
  </si>
  <si>
    <t>Segment Dystrybucja / Distribution Segment</t>
  </si>
  <si>
    <t>Segment Sprzedaż / Supply Segment</t>
  </si>
  <si>
    <t>Pozostałe / Other</t>
  </si>
  <si>
    <t>Segment Wydobycie / Mining segment</t>
  </si>
  <si>
    <t>Segment Wytwarzanie / Generation segment</t>
  </si>
  <si>
    <t>Segment OZE / RES segment</t>
  </si>
  <si>
    <t>Segment Ciepło / Heat segment</t>
  </si>
  <si>
    <t>Segment Dystrybucja / Distribution segment</t>
  </si>
  <si>
    <t>Segment Sprzedaż / Supply segment</t>
  </si>
  <si>
    <t>Segment Obsługa Klienta / Customer Service segment</t>
  </si>
  <si>
    <t>Other</t>
  </si>
  <si>
    <t xml:space="preserve"> EBITDA 2014</t>
  </si>
  <si>
    <t xml:space="preserve"> EBIT 2014</t>
  </si>
  <si>
    <t xml:space="preserve"> EBITDA 2013</t>
  </si>
  <si>
    <t xml:space="preserve"> EBIT 2013</t>
  </si>
  <si>
    <t xml:space="preserve"> EBITDA Q4 2014</t>
  </si>
  <si>
    <t xml:space="preserve"> EBIT Q4 2014</t>
  </si>
  <si>
    <t xml:space="preserve"> EBITDA Q4 2013</t>
  </si>
  <si>
    <t>EBITDA 
Q1-Q3 2014</t>
  </si>
  <si>
    <t>EBIT 
Q1-Q3 2014</t>
  </si>
  <si>
    <t>EBITDA 
Q1-Q3 2013</t>
  </si>
  <si>
    <t xml:space="preserve">EBITDA 
Q2 2014 </t>
  </si>
  <si>
    <t xml:space="preserve">EBIT 
Q2 2014 </t>
  </si>
  <si>
    <t xml:space="preserve">EBITDA 
H1 2013 </t>
  </si>
  <si>
    <t xml:space="preserve">EBIT 
H1 2013 </t>
  </si>
  <si>
    <t xml:space="preserve">EBIT 
Q1-Q3 2013 </t>
  </si>
  <si>
    <t xml:space="preserve">EBITDA 
H1 2014 </t>
  </si>
  <si>
    <t xml:space="preserve">EBIT 
H1 2014 </t>
  </si>
  <si>
    <t xml:space="preserve">EBITDA 
Q2 2013 </t>
  </si>
  <si>
    <t xml:space="preserve">EBIT 
Q2 2013 </t>
  </si>
  <si>
    <t>Przychody ze sprzedaży Q2 2013  / Sales revenue Q2 2013</t>
  </si>
  <si>
    <t>Przychody ze sprzedaży 
Q1 2018 / Sales revenue Q1 2018</t>
  </si>
  <si>
    <t>EBITDA 
Q1 2018</t>
  </si>
  <si>
    <t>EBITDA 
Q1 2017</t>
  </si>
  <si>
    <t xml:space="preserve">EBIT 
Q1 2018 </t>
  </si>
  <si>
    <t xml:space="preserve">EBIT 
Q1 2017 </t>
  </si>
  <si>
    <t>Aktywa ogółem na dzień 
31 marca 2018 / Total assets as of 31.03.2018</t>
  </si>
  <si>
    <t>Aktywa ogółem na dzień 
31 marca 2017 / Total assets as of 31.03.2017</t>
  </si>
  <si>
    <t>Przychody ze sprzedaży 
Q4 2017 / Sales revenue Q4 2017</t>
  </si>
  <si>
    <t xml:space="preserve">EBITDA 
Q4 2017 </t>
  </si>
  <si>
    <t>EBITDA 
Q4 2016</t>
  </si>
  <si>
    <t xml:space="preserve">EBIT 
Q4 2017 </t>
  </si>
  <si>
    <t xml:space="preserve">EBIT 
Q4 2016 </t>
  </si>
  <si>
    <t>Aktywa ogółem na dzień 
31 grudnia 2017 / Total assets as of 31.12.2017</t>
  </si>
  <si>
    <t>Przychody ze sprzedaży 
2016 / Sales revenue 2016</t>
  </si>
  <si>
    <t xml:space="preserve">EBITDA 
2017 </t>
  </si>
  <si>
    <t>EBIT 
2017</t>
  </si>
  <si>
    <t xml:space="preserve">EBITDA 
2016 </t>
  </si>
  <si>
    <t xml:space="preserve">EBIT 
2016 </t>
  </si>
  <si>
    <t>Aktywa ogółem na dzień 
31 grudnia 2016  / Total assets as of 31.12.2016</t>
  </si>
  <si>
    <t>Aktywa ogółem na dzień 
31 grudnia 2017  / Total assets as of 31.12.2017</t>
  </si>
  <si>
    <t>Przychody ze sprzedaży 
Q3 2017 / Sales revenue Q3 2017</t>
  </si>
  <si>
    <t xml:space="preserve">EBITDA 
Q3 2017 </t>
  </si>
  <si>
    <t xml:space="preserve">EBITDA 
Q3 2016 </t>
  </si>
  <si>
    <t xml:space="preserve">EBIT 
Q3 2017 </t>
  </si>
  <si>
    <t>EBIT 
Q3 2016</t>
  </si>
  <si>
    <t>Aktywa ogółem na dzień 
30 września 2017 / Total assets as of 30.09.2017</t>
  </si>
  <si>
    <t>Aktywa ogółem na dzień 
30 września 2016 / Total assets as of 30.09.2016</t>
  </si>
  <si>
    <t>Przychody ze sprzedaży 
Q2 2017 / Sales revenue Q2 2017</t>
  </si>
  <si>
    <t>Przychody ze sprzedaży 
Q2 2016 / Sales revenue Q2 2016</t>
  </si>
  <si>
    <t xml:space="preserve">EBITDA 
Q2 2017 </t>
  </si>
  <si>
    <t xml:space="preserve">EBITDA 
Q2 2016 </t>
  </si>
  <si>
    <t xml:space="preserve">EBIT 
Q2 2017 </t>
  </si>
  <si>
    <t xml:space="preserve">EBIT 
Q2 2016 </t>
  </si>
  <si>
    <t>Aktywa ogółem na dzień 
30 czerwca 2017 / Total assets as of 30.06.2017</t>
  </si>
  <si>
    <t>Aktywa ogółem na dzień 
31 grudnia 2016 / Total assets as of 31.12.2016</t>
  </si>
  <si>
    <t>Przychody ze sprzedaży 
H1 2017 / Sales revenue H1 2017</t>
  </si>
  <si>
    <t>Przychody ze sprzedaży 
H1 2016 / Sales revenue H1 2017</t>
  </si>
  <si>
    <t xml:space="preserve">EBITDA 
H1 2017 </t>
  </si>
  <si>
    <t xml:space="preserve">EBITDA 
H1 2016 </t>
  </si>
  <si>
    <t xml:space="preserve">EBIT 
H1 2017 </t>
  </si>
  <si>
    <t xml:space="preserve">EBIT 
H1 2016 </t>
  </si>
  <si>
    <t>Przychody ze sprzedaży 
Q1 2017 / Sales revenue Q1 2017</t>
  </si>
  <si>
    <t>Przychody ze sprzedaży 
Q1 2016 / Sales revenue Q1 2016</t>
  </si>
  <si>
    <t xml:space="preserve">EBITDA 
Q1 2017 </t>
  </si>
  <si>
    <t xml:space="preserve">EBITDA 
Q1 2016 </t>
  </si>
  <si>
    <t xml:space="preserve">EBIT 
Q1 2016 </t>
  </si>
  <si>
    <t>Przychody ze sprzedaży 
2016  / Sales revenue 2016</t>
  </si>
  <si>
    <t>Przychody ze sprzedaży 
2015 / Sales revenue 2015</t>
  </si>
  <si>
    <t xml:space="preserve">EBITDA 
2015 </t>
  </si>
  <si>
    <t xml:space="preserve">EBIT 
2015 </t>
  </si>
  <si>
    <t>Aktywa ogółem na dzień 
31 grudnia 2015 / Total assets as of 31.12.2015</t>
  </si>
  <si>
    <t>Aktywa ogółem na dzień 
30 września 2015 / Total assets as of 30.09.2015</t>
  </si>
  <si>
    <t>Aktywa ogółem 
na dzień 30 czerwca 2016 / Total assets as of 30.06.2016</t>
  </si>
  <si>
    <t>Aktywa ogółem 
na dzień 30 czerwca 2015  / Total assets as of 30.06.2015</t>
  </si>
  <si>
    <t>Aktywa ogółem 
na dzień 31 marca 2015 / Total assets as of 31.03.2015</t>
  </si>
  <si>
    <t>Aktywa ogółem 
na dzień 31 marca 2016 / Total assets as of 31.03.2016</t>
  </si>
  <si>
    <t>Przychody ze sprzedaży 
za 2015 / Sales revenue 2015</t>
  </si>
  <si>
    <t>EBITDA 
2015</t>
  </si>
  <si>
    <t>EBIT 
2015</t>
  </si>
  <si>
    <t>Aktywa ogółem 
na dzień 31 grudnia 2015 / Total assets as of 31.12.2015</t>
  </si>
  <si>
    <t>Przychody ze sprzedaży 
za 2014 / Sales revenue 2014</t>
  </si>
  <si>
    <t>EBITDA 
2014</t>
  </si>
  <si>
    <t>EBIT 
2014</t>
  </si>
  <si>
    <t>Aktywa ogółem 
na dzień 31 grudnia 2014 / Total assets as of 31.12.2014</t>
  </si>
  <si>
    <t>Aktywa ogółem na dzień 
30 września 2014 / Total assets as of 30.09.2014</t>
  </si>
  <si>
    <t>Aktywa ogółem 
na dzień 30 czerwca 2015 / Total assets as of 30.06.2015</t>
  </si>
  <si>
    <t>Aktywa ogółem 
na dzień 30 czerwca 2014 / Total assets as of 30.06.2014</t>
  </si>
  <si>
    <t>Aktywa ogółem 
na dzień 31 marca 2015  / Total assets as of 31.03.2015</t>
  </si>
  <si>
    <t>Aktywa ogółem 
na dzień 31 marca 2014  / Total assets as of 31.03.2014</t>
  </si>
  <si>
    <t>Przychody ze sprzedaży za 2014 / Sales revenue 2014</t>
  </si>
  <si>
    <t>Aktywa ogółem na dzień 31 grudnia 2014 / Total assets as of 31.12.2014</t>
  </si>
  <si>
    <t>Przychody ze sprzedaży za 2013 / Sales revenue 2013</t>
  </si>
  <si>
    <t>Aktywa ogółem na dzień 31 grudnia 2013 / Total assets as of 31.12.2013</t>
  </si>
  <si>
    <t>Przychody ze sprzedaży 
 Q4 2014  / Sales revenue Q4 2014</t>
  </si>
  <si>
    <t>Przychody ze sprzedaży 
Q4 2013 / Sales revenue Q4 2013</t>
  </si>
  <si>
    <t>Aktywa ogółem na dzień 31 grudnia 2013  / Total assets as of 31.12.2013</t>
  </si>
  <si>
    <t>Przychody ze sprzedaży 
za Q3 2013 / Sales revenue Q3 2013</t>
  </si>
  <si>
    <t>EBITDA 
Q3 2013</t>
  </si>
  <si>
    <t>Przychody ze sprzedaży 
za Q3 2014 / Sales revenue Q3 2014</t>
  </si>
  <si>
    <t>EBITDA 
Q3 2014</t>
  </si>
  <si>
    <t>EBIT 
Q3 2014</t>
  </si>
  <si>
    <t>EBIT 
Q3 2013</t>
  </si>
  <si>
    <t>Aktywa ogółem na dzień 30 września 2014 / Total assets as of 30.09.2014</t>
  </si>
  <si>
    <t>Aktywa ogółem na dzień 30 września 2013 / Total assets as of 30.09.2013</t>
  </si>
  <si>
    <t>Przychody ze sprzedaży Q2 2014 / Sales revenue Q2 2013</t>
  </si>
  <si>
    <t>Przychody ze sprzedaży za H1 2013 / Sales revenue H1 2013</t>
  </si>
  <si>
    <t>Przychody ze sprzedaży za H1 2014 / Sales revenue H1 2014</t>
  </si>
  <si>
    <t>Aktywa ogółem na dzień 30 czerwca 2014  / Total assets as of 30.06.2014</t>
  </si>
  <si>
    <t>Aktywa ogółem na dzień 30 czerwca 2013  / Total assets as of 30.06.2013</t>
  </si>
  <si>
    <t xml:space="preserve">EBIT 
Q4 2013 </t>
  </si>
  <si>
    <t>Przychody ze sprzedaży 
Q3 2016  / Sales revenue Q3 2016</t>
  </si>
  <si>
    <t>Przychody ze sprzedaży 
Q4 2016 / Sales revenue Q4 2016</t>
  </si>
  <si>
    <t>Przychody ze sprzedaży 
2017 / Sales revenue 2017</t>
  </si>
  <si>
    <t>Nakłady inwestycyjne / CAPEX</t>
  </si>
  <si>
    <t>Rachunek zysków i strat / Profit and loss statement</t>
  </si>
  <si>
    <t xml:space="preserve">Nota / Note
</t>
  </si>
  <si>
    <t>Koszty sprzedaży / Selling and distribution expenses</t>
  </si>
  <si>
    <t>Koszty ogólnego zarządu / Administrative expenses</t>
  </si>
  <si>
    <t>Pozostałe przychody i koszty operacyjne / Other operating income and expenses</t>
  </si>
  <si>
    <t>Koszty odsetkowe od zadłużenia / Interest expense on debt</t>
  </si>
  <si>
    <t>Podatek dochodowy / Income tax expense</t>
  </si>
  <si>
    <t>Wycena instrumentów zabezpieczających / Measurement of hedging instruments</t>
  </si>
  <si>
    <t>Różnice kursowe z przeliczenia jednostki zagranicznej / Foreign exchange differences from translation of foreign entities</t>
  </si>
  <si>
    <t>Podatek dochodowy / Income tax</t>
  </si>
  <si>
    <t>Pozostałe całkowite dochody netto / Other comprehensive income, net of tax</t>
  </si>
  <si>
    <t>Łączne całkowite dochody / Total comprehensive income</t>
  </si>
  <si>
    <t>Akcjonariuszom jednostki dominującej / Attributable to equity holders of the Parent</t>
  </si>
  <si>
    <t>Udziałom niekontrolującym / Attributable to non-controlling interests</t>
  </si>
  <si>
    <t>Całkowity dochód przypadający: / Total comprehensive income:</t>
  </si>
  <si>
    <t>Nota / Note</t>
  </si>
  <si>
    <t>AKTYWA / ASSETS</t>
  </si>
  <si>
    <t>Aktywa trwałe / Non-current assets</t>
  </si>
  <si>
    <t>Rzeczowe aktywa trwałe / Property, plant and equipment</t>
  </si>
  <si>
    <t>Wartość firmy / Goodwill</t>
  </si>
  <si>
    <t>Pozostałe aktywa niematerialne / Other intangible assets</t>
  </si>
  <si>
    <t>Udziały i akcje we wspólnych przedsięwzięciach / Investments in joint ventures</t>
  </si>
  <si>
    <t>Pożyczki udzielone na rzecz wspólnych przedsięwzięć / Loans granted to joint ventures</t>
  </si>
  <si>
    <t>Pozostałe aktywa finansowe / Other financial assets</t>
  </si>
  <si>
    <t>Pozostałe aktywa niefinansowe / Other non-financial assets</t>
  </si>
  <si>
    <t>Aktywa z tytułu odroczonego podatku dochodowego / Deferred tax assets</t>
  </si>
  <si>
    <t>Aktywa obrotowe / Current assets</t>
  </si>
  <si>
    <t>Zapasy / Inventories</t>
  </si>
  <si>
    <t>Należności od odbiorców / Receivables from buyers</t>
  </si>
  <si>
    <t>Należności z tytułu podatków i opłat / Receivables arising from taxes and charges</t>
  </si>
  <si>
    <t>Środki pieniężne i ich ekwiwalenty / Cash and cash equivalents</t>
  </si>
  <si>
    <t>SUMA AKTYWÓW / TOTAL ASSETS</t>
  </si>
  <si>
    <t>PASYWA / EQUITY AND LIABILITIES</t>
  </si>
  <si>
    <t>Kapitał własny przypadający akcjonariuszom jednostki dominującej / Equity attributable to equity holders of the Parent</t>
  </si>
  <si>
    <t>Kapitał podstawowy / Issued capital</t>
  </si>
  <si>
    <t>Kapitał zapasowy / Reserve capital</t>
  </si>
  <si>
    <t>Kapitał z aktualizacji wyceny instrumentów zabezpieczających / Revaluation reserve from valuation of hedging instruments</t>
  </si>
  <si>
    <t>Zyski zatrzymane/(Niepokryte straty) / Retained earnings/(Accumulated losses)</t>
  </si>
  <si>
    <t>Udziały niekontrolujące / Non-controlling interests</t>
  </si>
  <si>
    <t>Kapitał własny ogółem / Total equity</t>
  </si>
  <si>
    <t>Zobowiązania długoterminowe / Non-current liabilities</t>
  </si>
  <si>
    <t>Zobowiązania z tytułu zadłużenia / Debt</t>
  </si>
  <si>
    <t>Rezerwy na świadczenia pracownicze / Provisions for employee benefits</t>
  </si>
  <si>
    <t>Rozliczenia międzyokresowe i dotacje rządowe / Accruals, deferred income and government grants</t>
  </si>
  <si>
    <t>Zobowiązania z tytułu odroczonego podatku dochodowego / Deferred tax liabilities</t>
  </si>
  <si>
    <t>Zobowiązania wobec dostawców / Liabilities to suppliers</t>
  </si>
  <si>
    <t>Pozostałe zobowiązania finansowe / Other financial liabilities</t>
  </si>
  <si>
    <t>Zobowiązania krótkoterminowe / Current liabilities</t>
  </si>
  <si>
    <t>Zobowiązania inwestycyjne / Capital commitments</t>
  </si>
  <si>
    <t>Pozostałe rezerwy / Other provisions</t>
  </si>
  <si>
    <t>Pozostałe zobowiązania niefinansowe / Other non-financial liabilities</t>
  </si>
  <si>
    <t>Zobowiązania razem / Total liabilities</t>
  </si>
  <si>
    <t>SUMA PASYWÓW / TOTAL EQUITY AND LIABILITIES</t>
  </si>
  <si>
    <t>Rachunek przepływów pieniężnych / Cash flow statement</t>
  </si>
  <si>
    <t>Przepływy środków pieniężnych z działalności operacyjnej / Cash flows from operating activities</t>
  </si>
  <si>
    <t>Udział w (zyskach)/stratach wspólnych przedsięwzięć / Share in (profit)/loss of joint ventures</t>
  </si>
  <si>
    <t>Amortyzacja / Depreciation and amortization</t>
  </si>
  <si>
    <t>Różnice kursowe / Exchange differences</t>
  </si>
  <si>
    <t>Odsetki i prowizje / Interest and commissions</t>
  </si>
  <si>
    <t>Pozostałe korekty zysku przed opodatkowaniem / Other adjustments of profit before tax</t>
  </si>
  <si>
    <t>Zmiana stanu kapitału obrotowego / Change in working capital</t>
  </si>
  <si>
    <t>Podatek dochodowy zapłacony / Income tax paid</t>
  </si>
  <si>
    <t>Środki pieniężne netto z działalności operacyjnej  / Net cash from operating activities</t>
  </si>
  <si>
    <t>Przepływy środków pieniężnych z działalności inwestycyjnej / Cash flows from investing activities</t>
  </si>
  <si>
    <t>Nabycie rzeczowych aktywów trwałych i aktywów niematerialnych / Purchase of property, plant and equipment and intangible assets</t>
  </si>
  <si>
    <t>Razem płatności / Total payments</t>
  </si>
  <si>
    <t>Pozostałe wpływy / Other proceeds</t>
  </si>
  <si>
    <t>Razem wpływy / Total proceeds</t>
  </si>
  <si>
    <t>Środki pieniężne netto z działalności inwestycyjnej / Net cash used in investing activities</t>
  </si>
  <si>
    <t>Przepływy środków pieniężnych z działalności finansowej / Cash flows from financing activities</t>
  </si>
  <si>
    <t>Odsetki zapłacone / Interest paid</t>
  </si>
  <si>
    <t>Pozostałe płatności / Other payments</t>
  </si>
  <si>
    <t>Środki pieniężne netto z działalności finansowej / Net cash from financing activities</t>
  </si>
  <si>
    <t>Zwiększenie/(zmniejszenie) netto stanu środków pieniężnych i ich 
ekwiwalentów / Net increase / (decrease) in cash and cash equivalents</t>
  </si>
  <si>
    <t>Różnice kursowe netto / Net foreign exchange difference</t>
  </si>
  <si>
    <t>Środki pieniężne na początek okresu / Cash and cash equivalents at the beginning of the period</t>
  </si>
  <si>
    <r>
      <t xml:space="preserve">Środki pieniężne na koniec okresu, </t>
    </r>
    <r>
      <rPr>
        <b/>
        <i/>
        <sz val="10"/>
        <rFont val="Arial"/>
        <family val="2"/>
        <charset val="238"/>
      </rPr>
      <t>w tym: / Cash and cash equivalents at the end of the period, of which:</t>
    </r>
  </si>
  <si>
    <t>o ograniczonej możliwości dysponowania / restricted cash</t>
  </si>
  <si>
    <t xml:space="preserve">Q1 2018 </t>
  </si>
  <si>
    <t xml:space="preserve">Q1 2017 </t>
  </si>
  <si>
    <t xml:space="preserve">Q4 2017 </t>
  </si>
  <si>
    <t xml:space="preserve">Q4 2016 </t>
  </si>
  <si>
    <t xml:space="preserve">Q3 2017 </t>
  </si>
  <si>
    <t xml:space="preserve">Q3 2016 </t>
  </si>
  <si>
    <t xml:space="preserve">Q2 2017 </t>
  </si>
  <si>
    <t xml:space="preserve">Q2 2016 </t>
  </si>
  <si>
    <t xml:space="preserve">Q1 2016 </t>
  </si>
  <si>
    <t xml:space="preserve">H1 2014 </t>
  </si>
  <si>
    <t xml:space="preserve">H1 2013 </t>
  </si>
  <si>
    <t xml:space="preserve">Q4 2014 </t>
  </si>
  <si>
    <t xml:space="preserve">Q4 2013 </t>
  </si>
  <si>
    <t>Q3 2014</t>
  </si>
  <si>
    <t xml:space="preserve">Q3 2013 </t>
  </si>
  <si>
    <t xml:space="preserve">Q2 2014 </t>
  </si>
  <si>
    <t>Q2 2013</t>
  </si>
  <si>
    <t xml:space="preserve">Q1-Q3
2017 </t>
  </si>
  <si>
    <t xml:space="preserve">Q1-Q3
2016 </t>
  </si>
  <si>
    <t xml:space="preserve">H1 2017 </t>
  </si>
  <si>
    <t xml:space="preserve">H1 2016 </t>
  </si>
  <si>
    <t xml:space="preserve">Q1 2016  </t>
  </si>
  <si>
    <t xml:space="preserve">Q4 2015 </t>
  </si>
  <si>
    <t xml:space="preserve">Q1-Q3 2016 </t>
  </si>
  <si>
    <t xml:space="preserve">Q1-Q3 2015 </t>
  </si>
  <si>
    <t xml:space="preserve">Q3
2016 </t>
  </si>
  <si>
    <t xml:space="preserve">Q3
2015 </t>
  </si>
  <si>
    <t xml:space="preserve">H1
2016 </t>
  </si>
  <si>
    <t xml:space="preserve">H1
2015 </t>
  </si>
  <si>
    <t xml:space="preserve">Q2
2016 </t>
  </si>
  <si>
    <t xml:space="preserve">Q2
2015 </t>
  </si>
  <si>
    <t xml:space="preserve">Q1
2016 </t>
  </si>
  <si>
    <t xml:space="preserve">Q1
2015 </t>
  </si>
  <si>
    <t xml:space="preserve">Q1-Q3 2014 </t>
  </si>
  <si>
    <t xml:space="preserve">Q3 2015 </t>
  </si>
  <si>
    <t xml:space="preserve">Q3 2014 </t>
  </si>
  <si>
    <t xml:space="preserve">H1 2015 </t>
  </si>
  <si>
    <t xml:space="preserve">Q2 2015 </t>
  </si>
  <si>
    <t xml:space="preserve">Q1 2015 </t>
  </si>
  <si>
    <t xml:space="preserve">Q1 2014 </t>
  </si>
  <si>
    <t xml:space="preserve">Q1-Q3 2013 </t>
  </si>
  <si>
    <t xml:space="preserve">Q2 2013 </t>
  </si>
  <si>
    <t xml:space="preserve">Q1 2013 </t>
  </si>
  <si>
    <t>Key operating figures</t>
  </si>
  <si>
    <t>*dane produkcyjne za lata 2013, 2014 wykazywane są wg wartości netto (produkcja netto=produkcja brutto minus zużycie energii na potrzeby własne bloków, szacunkowy wskaźnik zużycia energii na potrzeby własne to ok. 9-10%). Od roku 2015 produkcja energii wykazywana jest wg wartości brutto / electricity production data for the years 2013 and 2014 are presented in net figures (net production=gross production less electricity used for generation unit's own needs, estimated ratio of unit's own needs: 9-10%)</t>
  </si>
  <si>
    <t xml:space="preserve">Q4
2016 </t>
  </si>
  <si>
    <t xml:space="preserve">Q4
2015 </t>
  </si>
  <si>
    <t>Q3 2015</t>
  </si>
  <si>
    <t xml:space="preserve">Q1-Q3 2017 </t>
  </si>
  <si>
    <t>Jednostki wytwórcze Grupy TAURON / TAURON Group's generation units</t>
  </si>
  <si>
    <t>GRUPA / Group - łączna moc (total capacity)</t>
  </si>
  <si>
    <t>EBITDA 
za Q4 2015 / EBITDA Q4 2015</t>
  </si>
  <si>
    <t>EBIT 
za Q4 2015 / EBIT Q4 2015</t>
  </si>
  <si>
    <t>EBITDA 
za Q4 2016 / EBITDA Q4 2016</t>
  </si>
  <si>
    <t>Przychody ze sprzedaży 
Q1-Q3 2016 / Sales revenue Q1-Q3 2016</t>
  </si>
  <si>
    <t xml:space="preserve">EBITDA 
Q1-Q3 2016 </t>
  </si>
  <si>
    <t xml:space="preserve">EBIT 
Q1-Q3 2016 </t>
  </si>
  <si>
    <t xml:space="preserve">EBIT 
Q1-Q3 2015 </t>
  </si>
  <si>
    <t xml:space="preserve">EBITDA 
Q1-Q3 2015 </t>
  </si>
  <si>
    <t>Przychody ze sprzedaży 
Q1-Q3 2015  / Sales revenue Q1-Q3 2015</t>
  </si>
  <si>
    <t>Przychody ze sprzedaży 
Q3 2016 / Sales revenue Q3 2016</t>
  </si>
  <si>
    <t>EBITDA 
Q3 2016 / EBITDA Q3 2016</t>
  </si>
  <si>
    <t>Przychody ze sprzedaży 
Q3 2015 / Sales revenue Q3 2015</t>
  </si>
  <si>
    <t>EBITDA 
Q3 2015 / EBITDA Q3 2015</t>
  </si>
  <si>
    <t>Przychody ze sprzedaży 
H1 2015 / Sales revenue H1 2015</t>
  </si>
  <si>
    <t>Przychody ze sprzedaży 
H1 2016  / Sales revenue H1 2016</t>
  </si>
  <si>
    <t>EBITDA 
Q2 2016 / EBITDA Q2 2016</t>
  </si>
  <si>
    <t>EBITDA 
Q2 2015 / EBITDA Q2 2015</t>
  </si>
  <si>
    <t>Przychody ze sprzedaży 
Q2 2015 / Sales revenue Q2 2015</t>
  </si>
  <si>
    <t>EBITDA 
Q1 2016 / EBITDA Q1 2016</t>
  </si>
  <si>
    <t>Przychody ze sprzedaży 
Q1 2015 / Sales revenue Q1 2015</t>
  </si>
  <si>
    <t>Przychody ze sprzedaży 
Q4 2015 / Sales revenue Q4 2015</t>
  </si>
  <si>
    <t>Przychody ze sprzedaży 
Q1-Q3 2015 / Sales revenue Q1-Q3 2015</t>
  </si>
  <si>
    <t>Przychody ze sprzedaży 
Q1-Q3 2014 / Sales revenue Q1-Q3 2014</t>
  </si>
  <si>
    <t>EBITDA 
Q1-Q3 2014 / EBITDA Q1-Q3 2014</t>
  </si>
  <si>
    <t>EBIT 
Q1-Q3 2014 / EBIT Q1-Q3 2014</t>
  </si>
  <si>
    <t>EBITDA 
Q1-Q3 2015 / EBITDA Q1-Q3 2015</t>
  </si>
  <si>
    <t>Przychody ze sprzedaży 
H1 2014 / Sales revenue H1 2014</t>
  </si>
  <si>
    <t>EBITDA 
Q1 2015 / EBITDA Q1 2015</t>
  </si>
  <si>
    <t>Przychody ze sprzedaży 
Q1 2014 / Sales revenue Q1 2014</t>
  </si>
  <si>
    <t>EBITDA 
Q1 2014 / EBITDA Q1 2014</t>
  </si>
  <si>
    <t>EBIT 
Q1 2014 / EBIT Q1 2014</t>
  </si>
  <si>
    <t>sprzedaż węgla energetycznego poza Grupę / external sale of hard coal (outside the Group)</t>
  </si>
  <si>
    <t>sprzedaż węgla energetycznego do Grupy / sale od hard coal to Group's power plants and CHPs</t>
  </si>
  <si>
    <t>Przychody ze sprzedaży 
Q1-Q3 2017 / Sales revenue Q1-Q3 2017</t>
  </si>
  <si>
    <t>Przychody ze sprzedaży 
Q1-Q3 2016  / Sales revenue Q1-Q3 2016</t>
  </si>
  <si>
    <t>EBITDA 
Q1-Q3 2016  / EBITDA Q1-Q3 2016</t>
  </si>
  <si>
    <t>EBITDA 
Q1-Q3 2017 / EBITDA Q1-Q3 2017</t>
  </si>
  <si>
    <t>EBIT 
Q1-Q3 2017 / EBIT Q1-Q3 2017</t>
  </si>
  <si>
    <t>EBIT 
Q1-Q3 2016 / EBIT Q1-Q3 2016</t>
  </si>
  <si>
    <t>EBIT 
Q1-Q3 2015 / EBIT Q1-Q3 2015</t>
  </si>
  <si>
    <t>Przychody ze sprzedaży 
Q1-Q3 2013 / Sales revenue Q1-Q3 2013</t>
  </si>
  <si>
    <t>tys. zł (PLN thousand)</t>
  </si>
  <si>
    <t>Dane w tys. zł (figures in PLN thousand)</t>
  </si>
  <si>
    <t>Łącznie / Total</t>
  </si>
  <si>
    <t>Podstawowe dane / Key figures</t>
  </si>
  <si>
    <t>Historyczne dane kwartalne / Historical quarterly figures</t>
  </si>
  <si>
    <t>Rachunek zysków i strat / Profit and loss account</t>
  </si>
  <si>
    <t>Koszt sprzedanych towarów, produktów, materiałów i usług / Cost of products, goods, materials and services sold</t>
  </si>
  <si>
    <t>Koszty sprzedaży / Cost of sales</t>
  </si>
  <si>
    <t>Zysk (strata) operacyjna / Operating profit (loss)</t>
  </si>
  <si>
    <t>Zysk (strata) przypadająca: / Profit (loss):</t>
  </si>
  <si>
    <t>Akcjonariuszom jednostki dominującej / attributable to equity holders of the parent</t>
  </si>
  <si>
    <t>Udziałom niekontrolującym / attributable to non-controlling interests</t>
  </si>
  <si>
    <t>Bilans / Balance sheet</t>
  </si>
  <si>
    <t>Aktywa z tytułu podatku odroczonego / Deferred tax assets</t>
  </si>
  <si>
    <t>Należności z tytułu podatku dochodowego / Corporate income tax receivables</t>
  </si>
  <si>
    <t>Kapitał własny przypadający akcjonariuszom jednostki dominującej / Equity attributable to equity holders of the parent</t>
  </si>
  <si>
    <t>Instrumenty pochodne / Derivative instruments</t>
  </si>
  <si>
    <t>Zobowiązanie z tytułu odroczonego podatku dochodowego / Deferred tax liability</t>
  </si>
  <si>
    <t>Zobowiązania z tytułu podatku dochodowego / Corporate income tax payable</t>
  </si>
  <si>
    <t>Udział w zyskach/(stratach) wspólnych przedsięwzięć / Share in profit/(loss) of joint ventures</t>
  </si>
  <si>
    <t>Środki pieniężne netto z działalności operacyjnej / Net cash from operating activities</t>
  </si>
  <si>
    <t>Sprzedaż rzeczowych aktywów trwałych i aktywów niematerialnych / Proceeds from sale of property, plant and equipment and intangible assets</t>
  </si>
  <si>
    <t>Środki pieniężne netto z działalności finansowej / Net cash from (used in) financing activities</t>
  </si>
  <si>
    <t>Zwiększenie/(zmniejszenie) netto stanu środków pieniężnych i ich ekwiwalentów / Net increase/(decrease) in cash and cash equivalents</t>
  </si>
  <si>
    <t>Środki pieniężne na koniec okresu, w tym: / Cash and cash equivalents at the end of the period, of which:</t>
  </si>
  <si>
    <t>Zysk (strata) przed opodatkowaniem / Profit/(loss) before taxation</t>
  </si>
  <si>
    <t xml:space="preserve">     Nabycie rzeczowych aktywów trwałych i aktywów niematerialnych / Purchase of property, plant and equipment and intangible assets</t>
  </si>
  <si>
    <t xml:space="preserve">     Nabycie aktywów finansowych / Purchase of financial assets</t>
  </si>
  <si>
    <t xml:space="preserve">     Udzielenie pożyczek / Loans granted</t>
  </si>
  <si>
    <t xml:space="preserve">     Pozostałe płatności / Other payments</t>
  </si>
  <si>
    <t xml:space="preserve">     Wykup dłużnych papierów wartościowych / Redemption of debt securities</t>
  </si>
  <si>
    <t xml:space="preserve">     Dywidendy otrzymane / Dividends received</t>
  </si>
  <si>
    <t xml:space="preserve">     Pozostałe wpływy / Other proceeds</t>
  </si>
  <si>
    <t>Środki pieniężne netto z działalności inwestycyjnej / Cash flows from investing activities</t>
  </si>
  <si>
    <t xml:space="preserve">     Spłata pożyczek/kredytów / Repayment of loans</t>
  </si>
  <si>
    <t xml:space="preserve">     Odsetki zapłacone / Interest paid</t>
  </si>
  <si>
    <t xml:space="preserve">     Wpływy z tytułu zaciągnięcia kredytów/pożyczek / Proceeds from contracted loans/borrowings</t>
  </si>
  <si>
    <t xml:space="preserve">     Otrzymane dotacje / Subsidies and amends received</t>
  </si>
  <si>
    <t xml:space="preserve">     Różnice kursowe netto / Net foreign exchange differences</t>
  </si>
  <si>
    <t xml:space="preserve">     o ograniczonej możliwości dysponowania / restricted cash</t>
  </si>
  <si>
    <t>Historyczne dane półroczne / Historical semiannual figures</t>
  </si>
  <si>
    <t xml:space="preserve">     Sprzedaż rzeczowych aktywów trwałych i aktywów niematerialnych / Proceeds from sale of property, plant and equipment and intangible assets</t>
  </si>
  <si>
    <t>Historyczne dane roczne / Historical annual figures</t>
  </si>
  <si>
    <t>Akcjonariuszom jednostki dominującej / Attributable to equity holders of the parent</t>
  </si>
  <si>
    <t>Zyski zatrzymane/Niepokryte straty / Retained earnings (Accumulated losses)</t>
  </si>
  <si>
    <t>Zysk (strata) przed opodatkowaniem / Profit (loss) before taxation</t>
  </si>
  <si>
    <t xml:space="preserve">   Amortyzacja / Depreciation and amortization</t>
  </si>
  <si>
    <t xml:space="preserve">   Odsetki i prowizje / Interest and commissions</t>
  </si>
  <si>
    <t xml:space="preserve">   Pozostałe korekty zysku przed opodatkowaniem / Other adjustments of profit before tax</t>
  </si>
  <si>
    <t xml:space="preserve">   Nabycie rzeczowych aktywów trwałych i aktywów niematerialnych / Purchase of property, plant and equipment and intangible assets</t>
  </si>
  <si>
    <t xml:space="preserve">   Nabycie aktywów finansowych / Purchase of financial assets</t>
  </si>
  <si>
    <t xml:space="preserve">   Udzielenie pożyczek / Loans granted</t>
  </si>
  <si>
    <t xml:space="preserve">   Pozostałe płatności / Other payments</t>
  </si>
  <si>
    <t xml:space="preserve">   Sprzedaż rzeczowych aktywów trwałych i aktywów niematerialnych / Proceeds from sale of property, plant and equipment and intangible assets</t>
  </si>
  <si>
    <t xml:space="preserve">   Dywidendy otrzymane / Dividends received</t>
  </si>
  <si>
    <t xml:space="preserve">   Pozostałe wpływy / Other proceeds</t>
  </si>
  <si>
    <t xml:space="preserve">  Wykup dłużnych papierów wartościowych / Redemption of debt securities</t>
  </si>
  <si>
    <t xml:space="preserve">   Spłata pożyczek/kredytów / Repayment of loans and borrowings</t>
  </si>
  <si>
    <t xml:space="preserve">   Odsetki zapłacone / Interest paid</t>
  </si>
  <si>
    <t xml:space="preserve">   Emisja dłużnych papierów wartościowych / Issue of debt securities</t>
  </si>
  <si>
    <t xml:space="preserve">   Wpływy z tytułu zaciągnięcia kredytów/pożyczek / Proceeds from contracted loans/borrowings</t>
  </si>
  <si>
    <t xml:space="preserve">   Otrzymane dotacje / Subsidies and amends received</t>
  </si>
  <si>
    <t xml:space="preserve">   Różnice kursowe netto / Net foreign exchange difference</t>
  </si>
  <si>
    <t>Środki pieniężne na początek okresu / Cash and cash equivalents at the begining of the period</t>
  </si>
  <si>
    <t xml:space="preserve">   o ograniczonej możliwości dysponowania / restricted cash</t>
  </si>
  <si>
    <t xml:space="preserve">H1 2018 </t>
  </si>
  <si>
    <t xml:space="preserve">Q2 2018 </t>
  </si>
  <si>
    <t xml:space="preserve"> Q1 2018</t>
  </si>
  <si>
    <t>Q4 2017</t>
  </si>
  <si>
    <t>Q3 2017</t>
  </si>
  <si>
    <t>Q2 2017</t>
  </si>
  <si>
    <t xml:space="preserve"> Q1 2017</t>
  </si>
  <si>
    <t>Q4 2016</t>
  </si>
  <si>
    <t>Q3 2016</t>
  </si>
  <si>
    <t>Q2 2016</t>
  </si>
  <si>
    <t xml:space="preserve"> Q1 2016</t>
  </si>
  <si>
    <t>Q4 2015</t>
  </si>
  <si>
    <t>Q2 2015</t>
  </si>
  <si>
    <t xml:space="preserve"> Q1 2015</t>
  </si>
  <si>
    <t>Q4 2014</t>
  </si>
  <si>
    <t>Q2 2014</t>
  </si>
  <si>
    <t xml:space="preserve"> Q1 2014</t>
  </si>
  <si>
    <t>Q4 2013</t>
  </si>
  <si>
    <t>Q3 2013</t>
  </si>
  <si>
    <t xml:space="preserve"> Q1 2013</t>
  </si>
  <si>
    <t xml:space="preserve"> Q2 2018</t>
  </si>
  <si>
    <t>Przychody ze sprzedaży 
Q2 2018 / Sales revenue Q2 2018</t>
  </si>
  <si>
    <t>EBITDA 
Q2 2018</t>
  </si>
  <si>
    <t xml:space="preserve">EBIT 
Q2 2018 </t>
  </si>
  <si>
    <t>Aktywa ogółem na dzień 
30 czerwca 2018 / Total assets as of 30.06.2018</t>
  </si>
  <si>
    <t>Przychody ze sprzedaży 
Q1 2015 / Sales revenue 
Q1 2015</t>
  </si>
  <si>
    <t>EBIT 
Q1 2015 / EBIT 
Q1 2015</t>
  </si>
  <si>
    <t>EBITDA 
Q2 2015 / EBITDA 
Q2 2015</t>
  </si>
  <si>
    <t>EBIT 
Q2 2015 / EBIT 
Q2 2015</t>
  </si>
  <si>
    <t>EBIT 
Q2 2014 / EBIT 
Q2 2014</t>
  </si>
  <si>
    <t>EBITDA 
Q2 2014 / EBITDA 
Q2 2014</t>
  </si>
  <si>
    <t>Przychody ze sprzedaży 
Q2 2015 / Sales revenue 
Q2 2015</t>
  </si>
  <si>
    <t>Przychody ze sprzedaży 
Q2 2014 / Sales revenue 
Q2 2014</t>
  </si>
  <si>
    <t>EBIT 
H1 2015 / EBIT 
H1 2015</t>
  </si>
  <si>
    <t>EBIT 
H1 2014 / EBIT 
H1 2014</t>
  </si>
  <si>
    <t>EBITDA 
H1 2015 / EBITDA 
H1 2015</t>
  </si>
  <si>
    <t>EBITDA 
H1 2014 / EBITDA 
H1 2014</t>
  </si>
  <si>
    <t>EBIT 
Q3 2015 / EBIT 
Q3 2015</t>
  </si>
  <si>
    <t>EBIT 
Q3 2014 / EBIT 
Q3 2014</t>
  </si>
  <si>
    <t>EBITDA 
Q3 2015 / EBITDA 
Q3 2015</t>
  </si>
  <si>
    <t>EBITDA 
Q3 2014 / EBITDA 
Q3 2014</t>
  </si>
  <si>
    <t>Przychody ze sprzedaży 
Q3 2015 / Sales revenue 
Q3 2015</t>
  </si>
  <si>
    <t>Przychody ze sprzedaży 
Q3 2014 / Sales revenue 
Q3 2014</t>
  </si>
  <si>
    <t>EBIT 
Q4 2015 / EBIT 
Q4 2015</t>
  </si>
  <si>
    <t>EBIT 
Q4 2014 / EBIT 
Q4 2014</t>
  </si>
  <si>
    <t>EBITDA 
Q4 2015 / EBITDA 
Q4 2015</t>
  </si>
  <si>
    <t>EBITDA 
Q4 2014 / EBITDA 
Q4 2014</t>
  </si>
  <si>
    <t>Przychody ze sprzedaży 
Q4 2015 / Sales revenue 
Q4 2015</t>
  </si>
  <si>
    <t>Przychody ze sprzedaży 
Q4 2014 / Sales revenue 
Q4 2014</t>
  </si>
  <si>
    <t>EBIT 
Q1 2016 / EBIT 
Q1 2016</t>
  </si>
  <si>
    <t>EBIT 
Q2 2016 / EBIT 
Q2 2016</t>
  </si>
  <si>
    <t>EBIT 
H1 2016 / EBIT 
H1 2016</t>
  </si>
  <si>
    <t>EBITDA 
H1 2016 / EBITDA 
H1 2016</t>
  </si>
  <si>
    <t>EBIT 
Q3 2016 / EBIT 
Q3 2016</t>
  </si>
  <si>
    <t>EBIT 
Q4 2016 / EBIT 
Q4 2016</t>
  </si>
  <si>
    <t>Przychody ze sprzedaży 
Q4 2016 / Sales revenue 
Q4 2016</t>
  </si>
  <si>
    <t>Przychody ze sprzedaży 
H1 2018 / Sales revenue H1 2018</t>
  </si>
  <si>
    <t>EBITDA 
H1 2018</t>
  </si>
  <si>
    <t xml:space="preserve">EBIT 
H1 2018 </t>
  </si>
  <si>
    <t>EBITDA 
Q2 2017</t>
  </si>
  <si>
    <t>EBITDA 
H1 2017</t>
  </si>
  <si>
    <t>Q3 
2015</t>
  </si>
  <si>
    <t xml:space="preserve">Q1-Q3 2018 </t>
  </si>
  <si>
    <t xml:space="preserve">Q3 2018 </t>
  </si>
  <si>
    <t>Q3 2018</t>
  </si>
  <si>
    <t>Przychody ze sprzedaży 
Q1-Q3 2018 / Sales revenue Q1-Q3 2018</t>
  </si>
  <si>
    <t>EBITDA 
Q1-Q3 2018</t>
  </si>
  <si>
    <t xml:space="preserve">EBIT 
Q1-Q3 2018 </t>
  </si>
  <si>
    <t>Aktywa ogółem na dzień 
30 września 2018 / Total assets as of 30.09.2018</t>
  </si>
  <si>
    <t>Przychody ze sprzedaży 
Q3 2018 / Sales revenue Q3 2018</t>
  </si>
  <si>
    <t>EBITDA 
Q3 2018</t>
  </si>
  <si>
    <t xml:space="preserve">EBIT 
Q3 2018 </t>
  </si>
  <si>
    <t>EBITDA 
Q1-Q3 2017</t>
  </si>
  <si>
    <t xml:space="preserve">EBIT 
Q1-Q3 2017 </t>
  </si>
  <si>
    <t>EBITDA 
Q3 2017</t>
  </si>
  <si>
    <t>Należności z tytułu podatku dochodowego / Income tax receivables</t>
  </si>
  <si>
    <t>Należności z tytułu pozostałych podatków i opłat/ Receivables arising from other taxes and charges</t>
  </si>
  <si>
    <t>Zobowiązania z tytułu podatku dochodowego / Income tax liabilities</t>
  </si>
  <si>
    <t>Zobowiązania z tytułu pozostałych podatków i opłat / Liabilities arising from other taxes and charges</t>
  </si>
  <si>
    <t>Q4 2018</t>
  </si>
  <si>
    <t>Przychody ze sprzedaży 
2018 / Sales revenue 2018</t>
  </si>
  <si>
    <t>EBITDA 
2018</t>
  </si>
  <si>
    <t xml:space="preserve">EBIT 
2018 </t>
  </si>
  <si>
    <t>Aktywa ogółem na dzień 
31 grudnia 2018 / Total assets as of 31.12.2018</t>
  </si>
  <si>
    <t>EBITDA 
2017</t>
  </si>
  <si>
    <t xml:space="preserve">EBIT 
2017 </t>
  </si>
  <si>
    <t>Przychody ze sprzedaży 
Q4 2018 / Sales revenue Q4 2018</t>
  </si>
  <si>
    <t>EBITDA 
Q4 2018</t>
  </si>
  <si>
    <t xml:space="preserve">EBIT 
Q4 2018 </t>
  </si>
  <si>
    <t>EBITDA 
Q4 2017</t>
  </si>
  <si>
    <t>Prawa do użytkowania aktywów / Right-of-use asset</t>
  </si>
  <si>
    <t>Q1 2019</t>
  </si>
  <si>
    <t xml:space="preserve"> Q1 2019</t>
  </si>
  <si>
    <t>Przychody ze sprzedaży 
Q1 2019 / Sales revenue Q1 2019</t>
  </si>
  <si>
    <t>EBITDA 
Q1 2019</t>
  </si>
  <si>
    <t xml:space="preserve">EBIT 
Q1 2019 </t>
  </si>
  <si>
    <t>Aktywa ogółem na dzień 
31 marca 2019 / Total assets as of 31.03.2019</t>
  </si>
  <si>
    <t xml:space="preserve">Q1 2019 </t>
  </si>
  <si>
    <t>Prawa do użytkowania aktywów / Right-of-use assets</t>
  </si>
  <si>
    <t>Pozostałe przychody i koszty operacyjne/ Other operating income and expenses</t>
  </si>
  <si>
    <t>Przychody finansowe i pozostałe koszty finansowe / Finance income and other finance costs</t>
  </si>
  <si>
    <t>Q2 2019</t>
  </si>
  <si>
    <t>H1 2019</t>
  </si>
  <si>
    <t>Aktywa ogółem na dzień 
30 czerwca 2019 / Total assets as of 30.06.2019</t>
  </si>
  <si>
    <t>Przychody ze sprzedaży 
Q2 2019 / Sales revenue Q2 2019</t>
  </si>
  <si>
    <t>EBITDA 
Q2 2019</t>
  </si>
  <si>
    <t xml:space="preserve">EBIT 
Q2 2019 </t>
  </si>
  <si>
    <t>Przychody ze sprzedaży 
Q2 2018 / Sales revenue Q1 2018</t>
  </si>
  <si>
    <t>Przychody ze sprzedaży 
H1 2019 / Sales revenue H1 2019</t>
  </si>
  <si>
    <t>EBITDA 
H1 2019</t>
  </si>
  <si>
    <t xml:space="preserve">EBIT 
H1 2019 </t>
  </si>
  <si>
    <t xml:space="preserve">Q2 2019 </t>
  </si>
  <si>
    <t xml:space="preserve">H12019 </t>
  </si>
  <si>
    <t xml:space="preserve">H12018 </t>
  </si>
  <si>
    <t>Q1-Q3 2019</t>
  </si>
  <si>
    <t>Q3 2019</t>
  </si>
  <si>
    <t>Przychody ze sprzedaży 
Q1-Q3 2019 / Sales revenue Q1-Q3 2019</t>
  </si>
  <si>
    <t>EBITDA 
Q1-Q3 2019</t>
  </si>
  <si>
    <t xml:space="preserve">EBIT 
Q1-Q3 2019 </t>
  </si>
  <si>
    <t>Aktywa ogółem na dzień 
30 września 2019 / Total assets as of 30.09.2019</t>
  </si>
  <si>
    <t>Przychody ze sprzedaży 
Q3 2019 / Sales revenue Q3 2019</t>
  </si>
  <si>
    <t>EBITDA 
Q3 2019</t>
  </si>
  <si>
    <t xml:space="preserve">EBIT 
Q3 2019 </t>
  </si>
  <si>
    <t xml:space="preserve">Q1-Q3 2019 </t>
  </si>
  <si>
    <t xml:space="preserve">Q3 2019 </t>
  </si>
  <si>
    <t>Pozostałe aktywa finansowe /Other financial assets</t>
  </si>
  <si>
    <t>Spłata zobowiązań leasingowych / Repayment of lease libilities</t>
  </si>
  <si>
    <t xml:space="preserve">   Rekompensaty / Recompensation revenue</t>
  </si>
  <si>
    <t xml:space="preserve">   Przychody ze sprzedaży / Sales revenue</t>
  </si>
  <si>
    <t>Q4 2019</t>
  </si>
  <si>
    <t xml:space="preserve">Q4 2018 </t>
  </si>
  <si>
    <t>Przychody ze sprzedaży 
2019 / Sales revenue 2019</t>
  </si>
  <si>
    <t>EBITDA 
2019</t>
  </si>
  <si>
    <t xml:space="preserve">EBIT 
2019 </t>
  </si>
  <si>
    <t>Aktywa ogółem na dzień 
31 grudnia 2019 / Total assets as of 31.12.2019</t>
  </si>
  <si>
    <t>Przychody ze sprzedaży 
Q4 2019 / Sales revenue Q4 2019</t>
  </si>
  <si>
    <t>EBITDA 
Q4 2019</t>
  </si>
  <si>
    <t xml:space="preserve">EBIT 
Q4 2019 </t>
  </si>
  <si>
    <t xml:space="preserve">Q4 2019 </t>
  </si>
  <si>
    <t>Q1 2020</t>
  </si>
  <si>
    <t xml:space="preserve"> Q1 2020</t>
  </si>
  <si>
    <t>Przychody ze sprzedaży 
Q1 2020 / Sales revenue Q1 2020</t>
  </si>
  <si>
    <t>EBITDA 
Q1 2020</t>
  </si>
  <si>
    <t xml:space="preserve">EBIT 
Q1 2020 </t>
  </si>
  <si>
    <t>Aktywa ogółem na dzień 
31 marca 2020 / Total assets as of 31.03.2020</t>
  </si>
  <si>
    <t>Segment OZE / RES Segment</t>
  </si>
  <si>
    <t>Segment Wytwarzanie / Generation Segment</t>
  </si>
  <si>
    <t xml:space="preserve"> Q2 2020</t>
  </si>
  <si>
    <t>Q2 2020</t>
  </si>
  <si>
    <t>H1 2020</t>
  </si>
  <si>
    <t xml:space="preserve">H1 2019 </t>
  </si>
  <si>
    <t>Przychody ze sprzedaży 
H1 2020 / Sales revenue H1 2020</t>
  </si>
  <si>
    <t>Działaność zaniechana</t>
  </si>
  <si>
    <t>EBITDA 
H1 2020</t>
  </si>
  <si>
    <t xml:space="preserve">EBIT 
H1 2020 </t>
  </si>
  <si>
    <t>Działalnośc zaniechana</t>
  </si>
  <si>
    <t>Przychody ze sprzedaży 
Q2 2020 / Sales revenue Q2 2020</t>
  </si>
  <si>
    <t>EBITDA 
Q2 2020</t>
  </si>
  <si>
    <t xml:space="preserve">EBIT 
Q2 2020 </t>
  </si>
  <si>
    <t>Aktywa ogółem na dzień 
30 czerwca 2020 / Total assets as of 31.03.2020</t>
  </si>
  <si>
    <t>Aktywa ogółem na dzień 
30 czerwca 2019 / Total assets as of 31.03.2019</t>
  </si>
  <si>
    <t>Q1-Q3 2020</t>
  </si>
  <si>
    <t>Q3 2020</t>
  </si>
  <si>
    <t>Przychody ze sprzedaży 
Q3 2020 / Sales revenue Q3 2020</t>
  </si>
  <si>
    <t>EBITDA 
Q3 2020</t>
  </si>
  <si>
    <t xml:space="preserve">EBIT 
Q3 2020 </t>
  </si>
  <si>
    <t>Aktywa ogółem na dzień 
30 września 2020 / Total assets as of 30.09.2020</t>
  </si>
  <si>
    <t>Przychody ze sprzedaży 
Q1-Q3 2020 / Sales revenue Q1-Q3 2020</t>
  </si>
  <si>
    <t>EBITDA 
Q1-Q3 2020</t>
  </si>
  <si>
    <t xml:space="preserve">EBIT 
Q1-Q3 2020 </t>
  </si>
  <si>
    <t xml:space="preserve">Koszt sprzedanych towarów, produktów, materiałów i usług  / Cost of sales </t>
  </si>
  <si>
    <t>Aktywa zaklasyfikowane jako przeznaczone do sprzedaży / Assets classified as held for sale</t>
  </si>
  <si>
    <t>Otrzymane dotacje  / Subsidies received</t>
  </si>
  <si>
    <r>
      <t>Świadectwa pochodzenia energii i prawa do emisji CO2 do umorzenia / Energy certificates and CO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emission allowances for surrender</t>
    </r>
  </si>
  <si>
    <r>
      <t>Świadectwa pochodzenia energii i prawa do emisji CO2 do umorzenia/ Energy certificates and CO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emission allowances for surrender</t>
    </r>
  </si>
  <si>
    <t>FY 2020</t>
  </si>
  <si>
    <t>FY 2019</t>
  </si>
  <si>
    <t>Q4 2020</t>
  </si>
  <si>
    <t>Przychody ze sprzedaży 
Q4 2020 / Sales revenue Q4 2020</t>
  </si>
  <si>
    <t>EBITDA 
Q4 2020</t>
  </si>
  <si>
    <t xml:space="preserve">EBIT 
Q4 2020 </t>
  </si>
  <si>
    <t>Przychody ze sprzedaży 
Q1-Q4 2020 / Sales revenue Q1-Q4 2020</t>
  </si>
  <si>
    <t>EBITDA 
Q1-Q4 2020</t>
  </si>
  <si>
    <t xml:space="preserve">EBIT 
Q1-Q4 2020 </t>
  </si>
  <si>
    <t>Przychody ze sprzedaży 
Q1-Q4 2019 / Sales revenue Q1-Q4 2019</t>
  </si>
  <si>
    <t>EBITDA 
Q1-Q4 2019</t>
  </si>
  <si>
    <t xml:space="preserve">EBIT 
Q1-Q4 2019 </t>
  </si>
  <si>
    <t>Aktywa ogółem na dzień 
31 grudnia 2020 / Total assets as of 31.12.2020</t>
  </si>
  <si>
    <t>Q1-Q4 2020</t>
  </si>
  <si>
    <t xml:space="preserve">Q1-Q4 2019 </t>
  </si>
  <si>
    <t>I kwartał 2021 r. /
Q1 2021</t>
  </si>
  <si>
    <r>
      <t xml:space="preserve">31 grudnia 2020 </t>
    </r>
    <r>
      <rPr>
        <i/>
        <sz val="10"/>
        <rFont val="Arial"/>
        <family val="2"/>
        <charset val="238"/>
      </rPr>
      <t>(dane przekształcone)</t>
    </r>
    <r>
      <rPr>
        <sz val="10"/>
        <rFont val="Arial"/>
        <family val="2"/>
        <charset val="238"/>
      </rPr>
      <t xml:space="preserve"> / 
31 December 2020 </t>
    </r>
    <r>
      <rPr>
        <i/>
        <sz val="10"/>
        <rFont val="Arial"/>
        <family val="2"/>
        <charset val="238"/>
      </rPr>
      <t>(restated figures)</t>
    </r>
  </si>
  <si>
    <t>Pozostałe całkowite dochody nie podlegające przeklasyfikowaniu w wynik finansowy / Other comprehensive income not to be reclassified in the financial result</t>
  </si>
  <si>
    <t>PV Jaworzno</t>
  </si>
  <si>
    <t>Q1 2021</t>
  </si>
  <si>
    <t>Q4 2021</t>
  </si>
  <si>
    <t>Q3 2021</t>
  </si>
  <si>
    <t xml:space="preserve"> Q2 2021</t>
  </si>
  <si>
    <t xml:space="preserve"> Q1 2021</t>
  </si>
  <si>
    <t>Przychody ze sprzedaży 
Q1 2021 / Sales revenue Q1 2021</t>
  </si>
  <si>
    <t>EBITDA 
Q1 2021</t>
  </si>
  <si>
    <t xml:space="preserve">EBIT 
Q1 2021 </t>
  </si>
  <si>
    <t>Aktywa ogółem na dzień 
31 marca 2021 / Total assets as of 31.03.2021</t>
  </si>
  <si>
    <t>I półrocze 2021 /
H1 2021</t>
  </si>
  <si>
    <t>II kwartał 2021 r. /
Q2 2021</t>
  </si>
  <si>
    <t>H1 2021</t>
  </si>
  <si>
    <t>Q2 2021</t>
  </si>
  <si>
    <t>Przychody ze sprzedaży 
H1 2021 / Sales revenue H1 2021</t>
  </si>
  <si>
    <t>EBITDA 
H1 2021</t>
  </si>
  <si>
    <t xml:space="preserve">EBIT 
H1 2021 </t>
  </si>
  <si>
    <t>Przychody ze sprzedaży 
Q2 2021 / Sales revenue Q1 2021</t>
  </si>
  <si>
    <t>EBITDA 
Q2 2021</t>
  </si>
  <si>
    <t xml:space="preserve">EBIT 
Q2 2021 </t>
  </si>
  <si>
    <t>Aktywa ogółem na dzień 
30 czerwca 2021 / Total assets as of 30.06.2021</t>
  </si>
  <si>
    <t>Przychody ze sprzedaży 
Q2 2020 / Sales revenue Q1 2020</t>
  </si>
  <si>
    <t>Aktywa ogółem na dzień 
30 czerwca 2020 / Total assets as of 30.06.2020</t>
  </si>
  <si>
    <t>Spłata kredytów/pożyczek / Repayment of loans and borrowings</t>
  </si>
  <si>
    <t>III kwartał 2021 r. /
Q3 2021</t>
  </si>
  <si>
    <t>Q1-Q3 2021</t>
  </si>
  <si>
    <t>Przychody ze sprzedaży 
Q3 2021 / Sales revenue Q3 2021</t>
  </si>
  <si>
    <t>EBITDA 
Q3 2021</t>
  </si>
  <si>
    <t xml:space="preserve">EBIT 
Q3 2021 </t>
  </si>
  <si>
    <t>Aktywa ogółem na dzień 
30 września 2021 / Total assets as of 30.09.2021</t>
  </si>
  <si>
    <t>Przychody ze sprzedaży 
Q1-Q3 2021 / Sales revenue Q1-Q3 2021</t>
  </si>
  <si>
    <t>EBITDA 
Q1-Q3 2021</t>
  </si>
  <si>
    <t xml:space="preserve">EBIT 
Q1-Q3 2021 </t>
  </si>
  <si>
    <t>Dane w mln PLN / Figures in PLN million</t>
  </si>
  <si>
    <t>Aktualizacja wartości udzielonych pożyczek / Impairment losses on loans granted</t>
  </si>
  <si>
    <r>
      <t xml:space="preserve">Rok zakończony 31 grudnia 2020 r. </t>
    </r>
    <r>
      <rPr>
        <i/>
        <sz val="10"/>
        <rFont val="Arial"/>
        <family val="2"/>
        <charset val="238"/>
      </rPr>
      <t>(dane przekształcone)</t>
    </r>
    <r>
      <rPr>
        <sz val="10"/>
        <rFont val="Arial"/>
        <family val="2"/>
        <charset val="238"/>
      </rPr>
      <t xml:space="preserve">/ 
Year ended 31 December 2020 </t>
    </r>
    <r>
      <rPr>
        <i/>
        <sz val="10"/>
        <rFont val="Arial"/>
        <family val="2"/>
        <charset val="238"/>
      </rPr>
      <t>(reststed figures)</t>
    </r>
  </si>
  <si>
    <t>Dane w mln PLN / in PLN million</t>
  </si>
  <si>
    <t>31 grudnia 2021 / 
31 December 2021</t>
  </si>
  <si>
    <t>31 grudnia 2021
/ As at 31 December 2021</t>
  </si>
  <si>
    <t>FY 2021</t>
  </si>
  <si>
    <t>Przychody ze sprzedaży 
FY 2021 / Sales revenue FY 2021</t>
  </si>
  <si>
    <t>EBITDA 
FY 2021</t>
  </si>
  <si>
    <t>Przychody ze sprzedaży 
Q4 2021 / Sales revenue Q4 2021</t>
  </si>
  <si>
    <t>EBITDA 
Q4 2021</t>
  </si>
  <si>
    <t xml:space="preserve">EBIT 
Q4 2021 </t>
  </si>
  <si>
    <t xml:space="preserve">EBIT 
FY 2021 </t>
  </si>
  <si>
    <t>Przychody ze sprzedaży 
FY 2020 / Sales revenue FY 2020</t>
  </si>
  <si>
    <t>EBITDA 
FY 2020</t>
  </si>
  <si>
    <t xml:space="preserve">EBIT 
FY 2020 </t>
  </si>
  <si>
    <t>Aktywa ogółem na dzień 
31 grudnia 2021 / Total assets as of 31.12.2021</t>
  </si>
  <si>
    <t>Dane w mln PLN/ in PLN million</t>
  </si>
  <si>
    <t>Zysk (strata) brutto ze sprzedaży / Profit (loss) on sale</t>
  </si>
  <si>
    <t>Zysk (strata) przed opowdatkowaniem / Profit (loss) before tax</t>
  </si>
  <si>
    <t xml:space="preserve">Zysk (strata) netto  / Net profit (loss) </t>
  </si>
  <si>
    <t>Pozostałe całkowite dochody podlegające przeklasyfikowaniu w wynik finansowy / Other comprehensive income to be reclassified in the financial result</t>
  </si>
  <si>
    <t>Zyski/(straty) aktuarialne / Actuarial gains (losses)</t>
  </si>
  <si>
    <t xml:space="preserve">Łączne całkowite dochody / Total comprehensive income </t>
  </si>
  <si>
    <t>Zysk (strata) netto przypadający: / Net profit (loss):</t>
  </si>
  <si>
    <t>Zysk (strata) na jedną akcję podstawowy i rozwodniony (w złotych) / Basic and diluted earnings per share (in PLN)</t>
  </si>
  <si>
    <t>Instrumenty pochodne /Derivative instruments</t>
  </si>
  <si>
    <t>Zobowiązania z tytułu zadłużenia/ Debt</t>
  </si>
  <si>
    <t>Rezerwy na koszty demontażu środków trwałych i rekultywację terenu oraz pozostałe / Provisions for disassembly of fixed assets, land restoration and other provisions</t>
  </si>
  <si>
    <t>Zobowiązania z tytułu nabycia udziałów niekontrolujących / Liabilities due to the acquisition of non-controlling interests</t>
  </si>
  <si>
    <t>Rezerwy na zobowiązania z tytułu świadectw pochodzenia energii i emisji CO2 / Provisions for liabilities due to energy certificates and CO2 emission allowances</t>
  </si>
  <si>
    <t>Zobowiązanie z tytułu pozostałych podatków i opłat / Liabilities arising from other taxes and charges</t>
  </si>
  <si>
    <t>Zobowiązania związane z aktywami zaklasyfikowanymi jako przeznaczone do sprzedaży/ Liabilities directly related to assets classified as held for sale</t>
  </si>
  <si>
    <t xml:space="preserve">   Udział w (zyskach)/stratach wspólnych przedsięwzięć / Share in (profit)/loss of joint ventures</t>
  </si>
  <si>
    <t xml:space="preserve">   Odpisy aktualizujące wartość niefinansowych aktywów trwałych / Impairment losses on non-financial non-current assets</t>
  </si>
  <si>
    <t xml:space="preserve">   Aktualizacja wartości udzielonych pożyczek</t>
  </si>
  <si>
    <t xml:space="preserve">   Różnice kursowe</t>
  </si>
  <si>
    <t xml:space="preserve">   Spłata zobowiązań leasingowych / Repayment of lease liabilities</t>
  </si>
  <si>
    <t xml:space="preserve">     Spłata zobowiązań leasingowych / Repayment of lease liabilities</t>
  </si>
  <si>
    <t>31 marca 2022
/ As at 31 March 2022</t>
  </si>
  <si>
    <t>Q1 2022</t>
  </si>
  <si>
    <t>Przychody ze sprzedaży 
Q1 2022 / Sales revenue Q1 2022</t>
  </si>
  <si>
    <t>EBITDA 
Q1 2022</t>
  </si>
  <si>
    <t>EBIT 
Q1 2022</t>
  </si>
  <si>
    <t>Aktywa ogółem na dzień 
31 marca 2022 / Total assets as of 31.03.2022</t>
  </si>
  <si>
    <t>I półrocze 2022 /
H1 2022</t>
  </si>
  <si>
    <t>30 czerwca 2022 / 
30 June 2022</t>
  </si>
  <si>
    <t>II kwartał 2022 r. /
Q2 2022</t>
  </si>
  <si>
    <t>30 czerwca 2022
/ As at 30 June 2022</t>
  </si>
  <si>
    <t xml:space="preserve">     Nabycie udziałów niekontrolujących /Acquisition of non-controlling shares </t>
  </si>
  <si>
    <t>H1 2022</t>
  </si>
  <si>
    <t>Q2 2022</t>
  </si>
  <si>
    <t>Q3 2022</t>
  </si>
  <si>
    <t>Q4 2022</t>
  </si>
  <si>
    <t>Przychody ze sprzedaży 
H1 2022 / Sales revenue H1 2022</t>
  </si>
  <si>
    <t>EBITDA 
H1 2022</t>
  </si>
  <si>
    <t>EBIT 
H1 2022</t>
  </si>
  <si>
    <t>Aktywa ogółem na dzień 
30 czerwca 2022 / Total assets as of 30.06.2022</t>
  </si>
  <si>
    <t>EBIT 
H1 2021</t>
  </si>
  <si>
    <t>Przychody ze sprzedaży 
Q2 2022 / Sales revenue Q2 2022</t>
  </si>
  <si>
    <t>EBITDA 
Q2 2022</t>
  </si>
  <si>
    <t>EBIT 
Q2 2022</t>
  </si>
  <si>
    <t>Przychody ze sprzedaży 
Q2 2021 / Sales revenue Q2 2021</t>
  </si>
  <si>
    <t>EBIT 
Q2 2021</t>
  </si>
  <si>
    <t>Jaworzno II i III</t>
  </si>
  <si>
    <t>ZW Tychy (blok biomasowy i kotły węglowe) / ZW Tychy (biomass and fossil unit)</t>
  </si>
  <si>
    <t>Zgodnie z mailem od Spółki moc osiągalna różni się (jest wyższa) od mocy zainstalowanej. Testy wykazały, że moc bloku jest wyższa od zainstalowanej.</t>
  </si>
  <si>
    <t>Rekompensaty / Recompensation revenue</t>
  </si>
  <si>
    <t>Zobowiązania związane z aktywami zaklasyfikowanymi jako przeznaczone do sprzedaży / Liabilities directly related to assets classified as held for sale</t>
  </si>
  <si>
    <t>30 września 2022
/ As at 30 September 2022</t>
  </si>
  <si>
    <t>III kwartał 2022 r. /
Q3 2022</t>
  </si>
  <si>
    <t>Q1-Q3 2022</t>
  </si>
  <si>
    <t>Przychody ze sprzedaży 
Q3 2022 / Sales revenue Q3 2022</t>
  </si>
  <si>
    <t>EBITDA 
Q3 2022</t>
  </si>
  <si>
    <t xml:space="preserve">EBIT 
Q3 2022 </t>
  </si>
  <si>
    <t>Aktywa ogółem na dzień 
30 września 2022 / Total assets as of 30.09.2022</t>
  </si>
  <si>
    <t>Przychody ze sprzedaży 
Q1-Q3 2022 / Sales revenue Q1-Q3 2022</t>
  </si>
  <si>
    <t>EBITDA 
Q1-Q3 2022</t>
  </si>
  <si>
    <t xml:space="preserve">EBIT 
Q1-Q3 2022 </t>
  </si>
  <si>
    <t>Udział w zyskach/ (stratach) wspólnych przedsięwzięć / Share in profit/(loss) of joint ventures</t>
  </si>
  <si>
    <t>Zysk (strata) netto z działalności kontynuowanej /Net profit (loss) on continuing operations</t>
  </si>
  <si>
    <t>Zysk (strata) netto z działalności zaniechanej / Net profit (loss) on discontinued operations</t>
  </si>
  <si>
    <t>Pozostałe całkowite dochody z działalności zaniechanej /Other comprehensive income on discontinued operations</t>
  </si>
  <si>
    <t>Rok zakończony 31 grudnia 2022 r. / 
Year ended 31 December 2022</t>
  </si>
  <si>
    <t>Rok zakończony 31 grudnia 2021 r. (dane przekształcone)/ 
Year ended 31 December 2021 (reststed figures)</t>
  </si>
  <si>
    <t>31 grudnia 2022 / 
31 December 2022</t>
  </si>
  <si>
    <r>
      <t xml:space="preserve">Rok zakończony 31 grudnia 2021 r. </t>
    </r>
    <r>
      <rPr>
        <i/>
        <sz val="10"/>
        <rFont val="Arial"/>
        <family val="2"/>
        <charset val="238"/>
      </rPr>
      <t>(dane przekształcone)</t>
    </r>
    <r>
      <rPr>
        <sz val="10"/>
        <rFont val="Arial"/>
        <family val="2"/>
        <charset val="238"/>
      </rPr>
      <t xml:space="preserve">/ 
Year ended 31 December 2021 </t>
    </r>
    <r>
      <rPr>
        <i/>
        <sz val="10"/>
        <rFont val="Arial"/>
        <family val="2"/>
        <charset val="238"/>
      </rPr>
      <t>(reststed figures)</t>
    </r>
  </si>
  <si>
    <t xml:space="preserve">   Odpis grupy do zbycia z tytułu przeszacowania do wartości godziwej /Write-down of disposable group due to revaluation to fair value</t>
  </si>
  <si>
    <t xml:space="preserve">   Nabycie udziałów niekontrolujących / Purchase of non-controlling shares</t>
  </si>
  <si>
    <t>II półrocze 2022 /
H2 2022</t>
  </si>
  <si>
    <t>II półrocze 2021 (dane przekształcone ) /
H2 2021 (restated figures)</t>
  </si>
  <si>
    <t xml:space="preserve">     Nabycie udziałów niekontrolujących / Purchase of non-controlling shares</t>
  </si>
  <si>
    <t xml:space="preserve">     Pozostałe wydatki/ Other payments</t>
  </si>
  <si>
    <t>IV kwartał 2022 r. /
Q4 2022</t>
  </si>
  <si>
    <t>IV kwartał 2021 r.  (dane przekształcone)/
Q4 2021 (restated figures)</t>
  </si>
  <si>
    <r>
      <t>Świadectwa pochodzenia energii i prawa do emisji CO</t>
    </r>
    <r>
      <rPr>
        <vertAlign val="subscript"/>
        <sz val="9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 do umorzenia / Energy certificates and CO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emission allowances for surrender</t>
    </r>
  </si>
  <si>
    <r>
      <t>Świadectwa pochodzenia energii i prawa do emisji CO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do umorzenia / Energy certificates and CO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emission allowances for surrender</t>
    </r>
  </si>
  <si>
    <t>Udzielenie pożyczek/ Loans granted</t>
  </si>
  <si>
    <t>Wpływy z tytułu zaciągnięcia kredytów/ pożyczek / Proceeds from contracted loans and borrowings</t>
  </si>
  <si>
    <t xml:space="preserve">   Aktualizacja wartości udzielonych pożyczek / Impairment losses on loans granted</t>
  </si>
  <si>
    <t xml:space="preserve">   Różnice kursowe /Exchange differences</t>
  </si>
  <si>
    <t xml:space="preserve">   Utrata kontroli nad spółką zależną / Loss of control over a subsidiary</t>
  </si>
  <si>
    <t xml:space="preserve">     Utrata kontroli nad spółką zależną / Loss of control over a subsidiary</t>
  </si>
  <si>
    <t>FY 2022</t>
  </si>
  <si>
    <t>Przychody ze sprzedaży 
Q4 2022 / Sales revenue Q4 2022</t>
  </si>
  <si>
    <t>EBITDA 
Q4 2022</t>
  </si>
  <si>
    <t xml:space="preserve">EBIT 
Q4 2022 </t>
  </si>
  <si>
    <t>Przychody ze sprzedaży 
Q1-Q4 2022 / Sales revenue Q1-Q4 2022</t>
  </si>
  <si>
    <t>EBITDA 
Q1-Q4 2022</t>
  </si>
  <si>
    <t xml:space="preserve">EBIT 
Q1-Q4 2022 </t>
  </si>
  <si>
    <t>Przychody ze sprzedaży 
Q1-Q4 2021 / Sales revenue Q1-Q4 2021</t>
  </si>
  <si>
    <t>EBITDA 
Q1-Q4 2021</t>
  </si>
  <si>
    <t xml:space="preserve">EBIT 
Q1-Q4 2021 </t>
  </si>
  <si>
    <t>Aktywa ogółem na dzień 
31 grudnia2022 / Total assets as of 31.12.2022</t>
  </si>
  <si>
    <t>Farmy fotowoltaiczne/Photovoltaic farms</t>
  </si>
  <si>
    <t>Majewo (oddana do użytkowania 29.09.2022)</t>
  </si>
  <si>
    <t>Q1-Q4 2022</t>
  </si>
  <si>
    <t>Q1-Q4 2021</t>
  </si>
  <si>
    <t>TAURON Inwestycje</t>
  </si>
  <si>
    <t>Nowe Jaworzno</t>
  </si>
  <si>
    <t>Blok 910MW</t>
  </si>
  <si>
    <t>I kwartał 2023 r. /
Q1 2023</t>
  </si>
  <si>
    <t>I kwartał 2022 r. (dane przekształcone) /
Q1 2022 (restated figures)</t>
  </si>
  <si>
    <t>31 marca 2023
/ As at 31 March 2023</t>
  </si>
  <si>
    <t>Przychody ze sprzedaży 
Q1 2023 / Sales revenue Q1 2023</t>
  </si>
  <si>
    <t>EBITDA 
Q1 2023</t>
  </si>
  <si>
    <t xml:space="preserve">EBIT 
Q1 2023 </t>
  </si>
  <si>
    <t xml:space="preserve">EBIT 
Q1 2022 </t>
  </si>
  <si>
    <t>Aktywa ogółem na dzień 
31 marca2023 / Total assets as of 31.03.2023</t>
  </si>
  <si>
    <t>Aktywa ogółem na dzień 
31 grudnia 2022 / Total assets as of 31.12.2022</t>
  </si>
  <si>
    <t>Q1 2023</t>
  </si>
  <si>
    <t>Q4 2023</t>
  </si>
  <si>
    <t>Q3 2023</t>
  </si>
  <si>
    <t>Q2 2023</t>
  </si>
  <si>
    <t>Zysk (strata) netto przypadający: / Net profit (loss) :</t>
  </si>
  <si>
    <t>Rezerwy na koszty demontażu środków trwałych i rekultywację terenu/ Provisions for disassembly of fixed assets, land restoration</t>
  </si>
  <si>
    <t>30 czerwca 2023 / 
30 June 2023</t>
  </si>
  <si>
    <t>I półrocze 2023 /
H1 2023</t>
  </si>
  <si>
    <t>II kwartał 2023 r. /
Q2 2023</t>
  </si>
  <si>
    <t>Zysk (strata) przed opodatkowaniem / Profit (loss) before tax</t>
  </si>
  <si>
    <t>II kwartał 2022 r. (dane przekształcone) /
Q2 2022 (restated figures)</t>
  </si>
  <si>
    <t>H1 2023</t>
  </si>
  <si>
    <t>Piotrków</t>
  </si>
  <si>
    <t>Majewo</t>
  </si>
  <si>
    <t>Choszczno</t>
  </si>
  <si>
    <t>Przychody ze sprzedaży 
H1 2023 / Sales revenue H1 2023</t>
  </si>
  <si>
    <t>EBITDA 
H1 2023</t>
  </si>
  <si>
    <t xml:space="preserve">EBIT 
H1 2023 </t>
  </si>
  <si>
    <t xml:space="preserve">EBIT 
H1 2022 </t>
  </si>
  <si>
    <t>Aktywa ogółem na dzień 
30 czerwca2023 / Total assets as of 30.06.2023</t>
  </si>
  <si>
    <t xml:space="preserve">EBIT 
Q2 2022 </t>
  </si>
  <si>
    <t>Przychody ze sprzedaży 
Q2 2023 / Sales revenue Q2 2023</t>
  </si>
  <si>
    <t>EBITDA 
Q2 2023</t>
  </si>
  <si>
    <t xml:space="preserve">EBIT 
Q2 2023 </t>
  </si>
  <si>
    <t>Zyski (straty) aktuarialne / Actuarial gains (loss)</t>
  </si>
  <si>
    <t>Odpisy aktualizujące wartość niefinansowych aktywów trwałych / Impairment losses on non-financial non-current assets</t>
  </si>
  <si>
    <t>III kwartał 2023 r. /
Q3 2023</t>
  </si>
  <si>
    <t>III kwartał 2022 r. (dane przekształcone) /
Q3 2022 (restated figures)</t>
  </si>
  <si>
    <t>30 września 2023
/ As at 30 September 2023</t>
  </si>
  <si>
    <t>Q1-Q3 2023</t>
  </si>
  <si>
    <t>Przychody ze sprzedaży 
Q3 2023 / Sales revenue Q3 2023</t>
  </si>
  <si>
    <t>EBITDA 
Q3 2023</t>
  </si>
  <si>
    <t xml:space="preserve">EBIT 
Q3 2023 </t>
  </si>
  <si>
    <t>Aktywa ogółem na dzień 
30 września2023 / Total assets as of 30.09.2023</t>
  </si>
  <si>
    <t>Przychody ze sprzedaży 
Q1-Q3 2023 / Sales revenue Q1-Q3 2023</t>
  </si>
  <si>
    <t>EBITDA 
Q1-Q3 2023</t>
  </si>
  <si>
    <t xml:space="preserve">EBIT 
Q1-Q3 2023 </t>
  </si>
  <si>
    <t>Udział w pozostałych całkowitych dochodach wspólnych przedsięwzięć/ 'Share in other comprehensive income of joint ventures</t>
  </si>
  <si>
    <t>26.1</t>
  </si>
  <si>
    <t>32.1</t>
  </si>
  <si>
    <t>26.2</t>
  </si>
  <si>
    <t>Zobowiązania inwestycyjne/ Capital commitments</t>
  </si>
  <si>
    <t>Wycena instrumentów pochodnych / Valuation of derivatives</t>
  </si>
  <si>
    <t>Rok zakończony 31 grudnia 2023 r. / 
Year ended 31 December 2023</t>
  </si>
  <si>
    <t xml:space="preserve">   Pozostałe / Other</t>
  </si>
  <si>
    <t>II półrocze 2023 /
H2 2023</t>
  </si>
  <si>
    <t>I półrocze 2022 (dane przekształcone ) /
H1 2022 (restated figures)</t>
  </si>
  <si>
    <t>IV kwartał 2023 r. /
Q4 2023</t>
  </si>
  <si>
    <t>PV Mysłowice</t>
  </si>
  <si>
    <t>Silniki gazowe</t>
  </si>
  <si>
    <t>TAURON Nowe Technologie</t>
  </si>
  <si>
    <t>FY 2023</t>
  </si>
  <si>
    <t>Przychody ze sprzedaży 
FY 2023 / Sales revenue FY 2023</t>
  </si>
  <si>
    <t>EBITDA 
FY 2023</t>
  </si>
  <si>
    <t xml:space="preserve">EBIT 
FY 2023 </t>
  </si>
  <si>
    <t>Przychody ze sprzedaży 
FY 2022 / Sales revenue FY 2022</t>
  </si>
  <si>
    <t>EBITDA 
FY 2022</t>
  </si>
  <si>
    <t xml:space="preserve">EBIT 
FY 2022 </t>
  </si>
  <si>
    <t>Aktywa ogółem na dzień 
31 grudnia 2023 / Total assets as of 31.12.2023</t>
  </si>
  <si>
    <t>Przychody ze sprzedaży 
Q4 2023 / Sales revenue Q4 2023</t>
  </si>
  <si>
    <t>EBITDA 
Q4 2023</t>
  </si>
  <si>
    <t xml:space="preserve">EBIT 
Q4 2023 </t>
  </si>
  <si>
    <r>
      <t>Pozostałe całkowite dochody podlegające przeklasyfikowaniu w wynik finansowy /</t>
    </r>
    <r>
      <rPr>
        <b/>
        <sz val="10"/>
        <rFont val="Arial"/>
        <family val="2"/>
        <charset val="238"/>
      </rPr>
      <t xml:space="preserve"> Other comprehensive income to be reclassified in the financial result</t>
    </r>
  </si>
  <si>
    <r>
      <t xml:space="preserve">Pozostałe całkowite dochody nie podlegające przeklasyfikowaniu w wynik finansowy / </t>
    </r>
    <r>
      <rPr>
        <b/>
        <sz val="10"/>
        <rFont val="Arial"/>
        <family val="2"/>
        <charset val="238"/>
      </rPr>
      <t>Other comprehensive income not to be reclassified in the financial result</t>
    </r>
  </si>
  <si>
    <t>32.4</t>
  </si>
  <si>
    <t>Zysk (strata) na jedną akcję podstawowy i rozwodniony (w złotych) / Profit (loss) per share basic and diluted (in PLN)</t>
  </si>
  <si>
    <r>
      <t xml:space="preserve">Stan na 
31 grudnia 2023 
</t>
    </r>
    <r>
      <rPr>
        <i/>
        <sz val="10"/>
        <rFont val="Arial"/>
        <family val="2"/>
        <charset val="238"/>
      </rPr>
      <t xml:space="preserve">(dane przekształcone)
</t>
    </r>
    <r>
      <rPr>
        <sz val="10"/>
        <rFont val="Arial"/>
        <family val="2"/>
        <charset val="238"/>
      </rPr>
      <t xml:space="preserve">/ As at 
31 December 2023
</t>
    </r>
    <r>
      <rPr>
        <i/>
        <sz val="10"/>
        <rFont val="Arial"/>
        <family val="2"/>
        <charset val="238"/>
      </rPr>
      <t xml:space="preserve"> (restated figures)</t>
    </r>
  </si>
  <si>
    <t>20.1</t>
  </si>
  <si>
    <t>27</t>
  </si>
  <si>
    <t>20.2</t>
  </si>
  <si>
    <t>32.3</t>
  </si>
  <si>
    <t>32.5</t>
  </si>
  <si>
    <t>32.6</t>
  </si>
  <si>
    <t>24</t>
  </si>
  <si>
    <t>41</t>
  </si>
  <si>
    <t>46.1</t>
  </si>
  <si>
    <t>46.2</t>
  </si>
  <si>
    <t>46.3</t>
  </si>
  <si>
    <r>
      <t xml:space="preserve">31 grudnia 2023
</t>
    </r>
    <r>
      <rPr>
        <i/>
        <sz val="10"/>
        <rFont val="Arial"/>
        <family val="2"/>
        <charset val="238"/>
      </rPr>
      <t xml:space="preserve">(dane przekształcone) / </t>
    </r>
    <r>
      <rPr>
        <sz val="10"/>
        <rFont val="Arial"/>
        <family val="2"/>
        <charset val="238"/>
      </rPr>
      <t xml:space="preserve">
31 December 2023
</t>
    </r>
    <r>
      <rPr>
        <i/>
        <sz val="10"/>
        <rFont val="Arial"/>
        <family val="2"/>
        <charset val="238"/>
      </rPr>
      <t xml:space="preserve"> (restated figures)</t>
    </r>
  </si>
  <si>
    <t>31 grudnia 2023
(dane przekształcone) / 
31 December 2023
 (restated figures)</t>
  </si>
  <si>
    <t>I kwartał 2024 r. /
Q1 2024</t>
  </si>
  <si>
    <t>31 marca 2024
/ As at 31 March 2024</t>
  </si>
  <si>
    <t>Q1 2024</t>
  </si>
  <si>
    <t>Przychody ze sprzedaży 
Q1 2024 / Sales revenue Q1 2024</t>
  </si>
  <si>
    <t>EBITDA 
Q1 2024</t>
  </si>
  <si>
    <t xml:space="preserve">EBIT 
Q1 2024 </t>
  </si>
  <si>
    <t>Aktywa ogółem na dzień 
31 marca2024 / Total assets as of 31.03.2024</t>
  </si>
  <si>
    <t>ZW Cieszyn</t>
  </si>
  <si>
    <t>Zysk (strata) netto / Net profit (loss)</t>
  </si>
  <si>
    <t>Nabycie aktywów finansowych / Purchase of financial assets</t>
  </si>
  <si>
    <t>Nabycie udziałów niekontrolujących / Purchase of non-controlling shares</t>
  </si>
  <si>
    <t>I półrocze 2024  /
H1 2024</t>
  </si>
  <si>
    <t>30 czerwca 2024 / 
30 June 2024</t>
  </si>
  <si>
    <t>I półrocze 2024 /
H1 2024</t>
  </si>
  <si>
    <t>I półrocze 2023  (dane przekształcone) /
H1 2023 (restated figures)</t>
  </si>
  <si>
    <t>II kwartał 2024 r. /
Q2 2024</t>
  </si>
  <si>
    <t>II kwartał 2023 r. (dane przekształcone)/
Q2 2023 (restated figures)</t>
  </si>
  <si>
    <t>H1 2024</t>
  </si>
  <si>
    <t>Q2 2024</t>
  </si>
  <si>
    <t>Q3 2024</t>
  </si>
  <si>
    <t>Q4 2024</t>
  </si>
  <si>
    <t>Przychody ze sprzedaży 
H1 2024 / Sales revenue H1 2024</t>
  </si>
  <si>
    <t>EBITDA 
H1 2024</t>
  </si>
  <si>
    <t xml:space="preserve">EBIT 
H1 2024 </t>
  </si>
  <si>
    <t>Aktywa ogółem na dzień 
30 czerwca2024 / Total assets as of 30.06.2024</t>
  </si>
  <si>
    <t>Przychody ze sprzedaży 
Q2 2024 / Sales revenue Q2 2024</t>
  </si>
  <si>
    <t>EBITDA 
Q2 2024</t>
  </si>
  <si>
    <t xml:space="preserve">EBIT 
Q2 2024 </t>
  </si>
  <si>
    <r>
      <t xml:space="preserve">Okres 3 miesięcy zakończony
30 września  2024 </t>
    </r>
    <r>
      <rPr>
        <i/>
        <sz val="10"/>
        <rFont val="Arial"/>
        <family val="2"/>
        <charset val="238"/>
      </rPr>
      <t xml:space="preserve">(niebadane)
</t>
    </r>
    <r>
      <rPr>
        <sz val="10"/>
        <rFont val="Arial"/>
        <family val="2"/>
        <charset val="238"/>
      </rPr>
      <t xml:space="preserve">/ 3-month period ended 
30 September  2024 </t>
    </r>
    <r>
      <rPr>
        <i/>
        <sz val="10"/>
        <rFont val="Arial"/>
        <family val="2"/>
        <charset val="238"/>
      </rPr>
      <t xml:space="preserve">(unaudited)
</t>
    </r>
  </si>
  <si>
    <r>
      <t xml:space="preserve">Okres 9 miesięcy zakończony
30 września  2024 </t>
    </r>
    <r>
      <rPr>
        <i/>
        <sz val="10"/>
        <rFont val="Arial"/>
        <family val="2"/>
        <charset val="238"/>
      </rPr>
      <t xml:space="preserve">(niebadane)
</t>
    </r>
    <r>
      <rPr>
        <sz val="10"/>
        <rFont val="Arial"/>
        <family val="2"/>
        <charset val="238"/>
      </rPr>
      <t xml:space="preserve">/ 9-month period ended 
30 September 2024 </t>
    </r>
    <r>
      <rPr>
        <i/>
        <sz val="10"/>
        <rFont val="Arial"/>
        <family val="2"/>
        <charset val="238"/>
      </rPr>
      <t xml:space="preserve">(unaudited)
</t>
    </r>
  </si>
  <si>
    <r>
      <t xml:space="preserve">Okres 3 miesięcy zakończony
30 września  2023 </t>
    </r>
    <r>
      <rPr>
        <i/>
        <sz val="10"/>
        <rFont val="Arial"/>
        <family val="2"/>
        <charset val="238"/>
      </rPr>
      <t xml:space="preserve">(niebadane)
</t>
    </r>
    <r>
      <rPr>
        <sz val="10"/>
        <rFont val="Arial"/>
        <family val="2"/>
        <charset val="238"/>
      </rPr>
      <t xml:space="preserve">/ 3-month period ended 
30 September  2023 </t>
    </r>
    <r>
      <rPr>
        <i/>
        <sz val="10"/>
        <rFont val="Arial"/>
        <family val="2"/>
        <charset val="238"/>
      </rPr>
      <t xml:space="preserve">(unaudited)
</t>
    </r>
  </si>
  <si>
    <r>
      <t xml:space="preserve">Okres 9 miesięcy zakończony
30 września 2023 </t>
    </r>
    <r>
      <rPr>
        <i/>
        <sz val="10"/>
        <rFont val="Arial"/>
        <family val="2"/>
        <charset val="238"/>
      </rPr>
      <t xml:space="preserve">(dane przekształcone niebadane)
</t>
    </r>
    <r>
      <rPr>
        <sz val="10"/>
        <rFont val="Arial"/>
        <family val="2"/>
        <charset val="238"/>
      </rPr>
      <t xml:space="preserve">/ 9-month period ended 
30 September 2023 </t>
    </r>
    <r>
      <rPr>
        <i/>
        <sz val="10"/>
        <rFont val="Arial"/>
        <family val="2"/>
        <charset val="238"/>
      </rPr>
      <t xml:space="preserve">(unaudited restated figures)
</t>
    </r>
  </si>
  <si>
    <t>Zysk brutto ze sprzedaży / Profit on sale</t>
  </si>
  <si>
    <t xml:space="preserve">Zysk operacyjny / Operating profit </t>
  </si>
  <si>
    <t xml:space="preserve">Zysk przed opodatkowaniem / Profit before tax </t>
  </si>
  <si>
    <r>
      <t xml:space="preserve">Stan na 
30 września 2024
</t>
    </r>
    <r>
      <rPr>
        <i/>
        <sz val="10"/>
        <rFont val="Arial"/>
        <family val="2"/>
        <charset val="238"/>
      </rPr>
      <t>(niebadane)</t>
    </r>
    <r>
      <rPr>
        <sz val="10"/>
        <rFont val="Arial"/>
        <family val="2"/>
        <charset val="238"/>
      </rPr>
      <t xml:space="preserve">
/ As at 
30 September  2024
</t>
    </r>
    <r>
      <rPr>
        <i/>
        <sz val="10"/>
        <rFont val="Arial"/>
        <family val="2"/>
        <charset val="238"/>
      </rPr>
      <t>(unaudited)</t>
    </r>
  </si>
  <si>
    <r>
      <t xml:space="preserve">Okres 9 miesięcy zakończony
30 września 2024 </t>
    </r>
    <r>
      <rPr>
        <i/>
        <sz val="10"/>
        <rFont val="Arial"/>
        <family val="2"/>
        <charset val="238"/>
      </rPr>
      <t xml:space="preserve">(niebadane)
</t>
    </r>
    <r>
      <rPr>
        <sz val="10"/>
        <rFont val="Arial"/>
        <family val="2"/>
        <charset val="238"/>
      </rPr>
      <t xml:space="preserve">/ 9-month period ended 
30 September  2024 </t>
    </r>
    <r>
      <rPr>
        <i/>
        <sz val="10"/>
        <rFont val="Arial"/>
        <family val="2"/>
        <charset val="238"/>
      </rPr>
      <t xml:space="preserve">(unaudited)
</t>
    </r>
  </si>
  <si>
    <r>
      <t xml:space="preserve">Okres 9 miesięcy zakończony
30 września 2023 </t>
    </r>
    <r>
      <rPr>
        <i/>
        <sz val="10"/>
        <rFont val="Arial"/>
        <family val="2"/>
        <charset val="238"/>
      </rPr>
      <t xml:space="preserve">(niebadane)
</t>
    </r>
    <r>
      <rPr>
        <sz val="10"/>
        <rFont val="Arial"/>
        <family val="2"/>
        <charset val="238"/>
      </rPr>
      <t xml:space="preserve">/ 9-month period ended 
30 September  2023 </t>
    </r>
    <r>
      <rPr>
        <i/>
        <sz val="10"/>
        <rFont val="Arial"/>
        <family val="2"/>
        <charset val="238"/>
      </rPr>
      <t xml:space="preserve">(unaudited)
</t>
    </r>
  </si>
  <si>
    <t xml:space="preserve">Zysk  przed opodatkowaniem / Profit before tax </t>
  </si>
  <si>
    <t>Dywidendy otrzymane / Dividends received</t>
  </si>
  <si>
    <t>30 września 2024
/ As at 30 September 2024</t>
  </si>
  <si>
    <t>III kwartał 2024 r. /
Q3 2024</t>
  </si>
  <si>
    <t>Q1-Q3 2024</t>
  </si>
  <si>
    <t>Przychody ze sprzedaży 
Q3 2024 / Sales revenue Q3 2024</t>
  </si>
  <si>
    <t>EBITDA 
Q3 2024</t>
  </si>
  <si>
    <t xml:space="preserve">EBIT 
Q3 2024 </t>
  </si>
  <si>
    <t>Aktywa ogółem na dzień 
30 września 2024 / Total assets as of 30.09.2024</t>
  </si>
  <si>
    <t>Przychody ze sprzedaży 
Q1-Q3 2024 / Sales revenue Q1-Q3 2024</t>
  </si>
  <si>
    <t>EBITDA 
Q1-Q3 2024</t>
  </si>
  <si>
    <t xml:space="preserve">EBIT 
Q1-Q3 2024 </t>
  </si>
  <si>
    <t>TZE</t>
  </si>
  <si>
    <t>Pozostałe nieprzypisane/Eliminacje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</si>
</sst>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(* #,##0.00_);_(* \(#,##0.00\);_(* &quot;-&quot;??_);_(@_)"/>
    <numFmt numFmtId="165" formatCode="#,##0_);[Red]\(#,##0\)"/>
    <numFmt numFmtId="166" formatCode="_-* #,##0\ _z_ł_-;\-* #,##0\ _z_ł_-;_-* &quot;-&quot;??\ _z_ł_-;_-@_-"/>
    <numFmt numFmtId="167" formatCode="0.0"/>
    <numFmt numFmtId="168" formatCode="_-* #,##0&quot;   &quot;;[Black]\(#,##0\)&quot;  &quot;;&quot;-   &quot;"/>
    <numFmt numFmtId="169" formatCode="#,##0_);[Black]\(#,##0\)"/>
    <numFmt numFmtId="170" formatCode="_-* #,##0.00&quot;   &quot;;[Red]\(#,##0.00\)&quot;  &quot;;&quot;-   &quot;"/>
    <numFmt numFmtId="171" formatCode="_-* #,##0&quot;   &quot;;[Red]\(#,##0\)&quot;  &quot;;&quot;-   &quot;"/>
    <numFmt numFmtId="172" formatCode="#,##0.00_);[Red]\(#,##0.00\)"/>
    <numFmt numFmtId="173" formatCode="_-* #,##0.0\ _z_ł_-;\-* #,##0.0\ _z_ł_-;_-* &quot;-&quot;??\ _z_ł_-;_-@_-"/>
    <numFmt numFmtId="174" formatCode="_(* #,##0_);_(* \(#,##0\);_(* &quot;-&quot;??_);_(@_)"/>
    <numFmt numFmtId="175" formatCode="_-* #,##0.00\ _z_ł_-;\-* #,##0.00\ _z_ł_-;_-* &quot;-&quot;??\ _z_ł_-;_-@_-"/>
    <numFmt numFmtId="176" formatCode="_-#,##0&quot;   &quot;;\-#,##0&quot;   &quot;;_-&quot;-   &quot;"/>
    <numFmt numFmtId="177" formatCode="0.000"/>
    <numFmt numFmtId="178" formatCode="#,##0.00;[Red]#,##0.00"/>
    <numFmt numFmtId="179" formatCode="#,##0.0"/>
    <numFmt numFmtId="180" formatCode="_-* #,##0.00&quot;   &quot;;[Black]\(#,##0.00\)&quot;  &quot;;&quot;-   &quot;"/>
  </numFmts>
  <fonts count="10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rgb="FF4B4B4B"/>
      <name val="Arial"/>
      <family val="2"/>
      <charset val="238"/>
    </font>
    <font>
      <sz val="12"/>
      <color rgb="FF4B4B4B"/>
      <name val="Arial"/>
      <family val="2"/>
      <charset val="238"/>
    </font>
    <font>
      <sz val="10"/>
      <color rgb="FF4B4B4B"/>
      <name val="Arial"/>
      <family val="2"/>
      <charset val="238"/>
    </font>
    <font>
      <b/>
      <sz val="10"/>
      <color rgb="FF4B4B4B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0"/>
      <name val="Arial"/>
      <family val="2"/>
      <charset val="238"/>
    </font>
    <font>
      <b/>
      <sz val="11"/>
      <color rgb="FF4B4B4B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 tint="0.249977111117893"/>
      <name val="Arial"/>
      <family val="2"/>
      <charset val="238"/>
    </font>
    <font>
      <b/>
      <sz val="10"/>
      <color theme="0" tint="-0.249977111117893"/>
      <name val="Arial"/>
      <family val="2"/>
      <charset val="238"/>
    </font>
    <font>
      <sz val="10"/>
      <color theme="0" tint="-0.249977111117893"/>
      <name val="Arial"/>
      <family val="2"/>
      <charset val="238"/>
    </font>
    <font>
      <sz val="10"/>
      <color theme="0" tint="-0.249977111117893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0"/>
      <name val="Arial"/>
      <family val="2"/>
      <charset val="238"/>
    </font>
    <font>
      <b/>
      <sz val="12"/>
      <color rgb="FF4B4B4B"/>
      <name val="Arial"/>
      <family val="2"/>
      <charset val="238"/>
    </font>
    <font>
      <b/>
      <sz val="10"/>
      <color theme="1" tint="0.249977111117893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sz val="12"/>
      <color theme="0"/>
      <name val="Calibri"/>
      <family val="2"/>
      <charset val="238"/>
      <scheme val="minor"/>
    </font>
    <font>
      <sz val="9"/>
      <color theme="1" tint="0.34998626667073579"/>
      <name val="Calibri"/>
      <family val="2"/>
      <charset val="238"/>
      <scheme val="minor"/>
    </font>
    <font>
      <b/>
      <sz val="10"/>
      <color theme="1" tint="0.34998626667073579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6"/>
      <name val="Arial"/>
      <family val="2"/>
      <charset val="238"/>
    </font>
    <font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name val="Calibri"/>
      <family val="2"/>
      <charset val="238"/>
      <scheme val="minor"/>
    </font>
    <font>
      <i/>
      <sz val="10"/>
      <name val="Arial"/>
      <family val="2"/>
      <charset val="238"/>
    </font>
    <font>
      <b/>
      <sz val="10"/>
      <color theme="1"/>
      <name val="Czcionka tekstu podstawowego"/>
      <family val="2"/>
      <charset val="238"/>
    </font>
    <font>
      <b/>
      <sz val="8"/>
      <color theme="1"/>
      <name val="Arial"/>
      <family val="2"/>
      <charset val="238"/>
    </font>
    <font>
      <sz val="10"/>
      <color theme="1" tint="0.34998626667073579"/>
      <name val="Arial"/>
      <family val="2"/>
      <charset val="238"/>
    </font>
    <font>
      <sz val="10"/>
      <color theme="1" tint="0.499984740745262"/>
      <name val="Arial"/>
      <family val="2"/>
      <charset val="238"/>
    </font>
    <font>
      <sz val="11"/>
      <color theme="1" tint="0.499984740745262"/>
      <name val="Calibri"/>
      <family val="2"/>
      <charset val="238"/>
      <scheme val="minor"/>
    </font>
    <font>
      <b/>
      <sz val="10"/>
      <color theme="1" tint="0.499984740745262"/>
      <name val="Arial"/>
      <family val="2"/>
      <charset val="238"/>
    </font>
    <font>
      <sz val="16"/>
      <color theme="1" tint="0.499984740745262"/>
      <name val="Arial"/>
      <family val="2"/>
      <charset val="238"/>
    </font>
    <font>
      <sz val="12"/>
      <color theme="1" tint="0.499984740745262"/>
      <name val="Arial"/>
      <family val="2"/>
      <charset val="238"/>
    </font>
    <font>
      <sz val="12"/>
      <color theme="1" tint="0.499984740745262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5"/>
      <color rgb="FFFF0000"/>
      <name val="Arial"/>
      <family val="2"/>
      <charset val="238"/>
    </font>
    <font>
      <b/>
      <sz val="22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9"/>
      <color rgb="FF545556"/>
      <name val="Arial"/>
      <family val="2"/>
      <charset val="238"/>
    </font>
    <font>
      <b/>
      <i/>
      <sz val="9"/>
      <color theme="1"/>
      <name val="Arial"/>
      <family val="2"/>
      <charset val="238"/>
    </font>
    <font>
      <i/>
      <sz val="9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2"/>
      <color theme="1" tint="0.499984740745262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6"/>
      <color theme="1" tint="0.34998626667073579"/>
      <name val="Arial"/>
      <family val="2"/>
      <charset val="238"/>
    </font>
    <font>
      <sz val="11"/>
      <color theme="1" tint="0.34998626667073579"/>
      <name val="Calibri"/>
      <family val="2"/>
      <charset val="238"/>
      <scheme val="minor"/>
    </font>
    <font>
      <sz val="12"/>
      <color theme="1" tint="0.34998626667073579"/>
      <name val="Arial"/>
      <family val="2"/>
      <charset val="238"/>
    </font>
    <font>
      <b/>
      <sz val="12"/>
      <color theme="1" tint="0.34998626667073579"/>
      <name val="Arial"/>
      <family val="2"/>
      <charset val="238"/>
    </font>
    <font>
      <b/>
      <sz val="11"/>
      <color theme="1" tint="0.34998626667073579"/>
      <name val="Calibri"/>
      <family val="2"/>
      <charset val="238"/>
      <scheme val="minor"/>
    </font>
    <font>
      <b/>
      <sz val="12"/>
      <name val="Arial"/>
      <family val="2"/>
      <charset val="238"/>
    </font>
    <font>
      <vertAlign val="subscript"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4"/>
      <name val="Arial"/>
      <family val="2"/>
      <charset val="238"/>
    </font>
    <font>
      <sz val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rgb="FF00B050"/>
      <name val="Arial"/>
      <family val="2"/>
      <charset val="238"/>
    </font>
    <font>
      <sz val="12"/>
      <color rgb="FF00B05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vertAlign val="subscript"/>
      <sz val="9"/>
      <color theme="1"/>
      <name val="Arial"/>
      <family val="2"/>
      <charset val="238"/>
    </font>
    <font>
      <sz val="16"/>
      <color rgb="FF4B4B4B"/>
      <name val="Arial"/>
      <family val="2"/>
      <charset val="238"/>
    </font>
    <font>
      <sz val="10"/>
      <color rgb="FF4B4B4B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4B4B4B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 tint="0.499984740745262"/>
      <name val="Arial"/>
      <family val="2"/>
      <charset val="238"/>
    </font>
    <font>
      <sz val="10"/>
      <color theme="1" tint="0.499984740745262"/>
      <name val="Arial"/>
      <family val="2"/>
      <charset val="238"/>
    </font>
    <font>
      <sz val="10"/>
      <color theme="1" tint="0.34998626667073579"/>
      <name val="Arial"/>
      <family val="2"/>
      <charset val="238"/>
    </font>
    <font>
      <sz val="10"/>
      <color theme="1" tint="0.249977111117893"/>
      <name val="Arial"/>
      <family val="2"/>
      <charset val="238"/>
    </font>
    <font>
      <b/>
      <sz val="10"/>
      <color rgb="FF4B4B4B"/>
      <name val="Arial"/>
      <family val="2"/>
      <charset val="238"/>
    </font>
    <font>
      <sz val="10"/>
      <color rgb="FF4B4B4B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2"/>
      <color rgb="FF4B4B4B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 tint="0.499984740745262"/>
      <name val="Arial"/>
      <family val="2"/>
      <charset val="238"/>
    </font>
    <font>
      <sz val="16"/>
      <color rgb="FF4B4B4B"/>
      <name val="Arial"/>
      <family val="2"/>
      <charset val="238"/>
    </font>
    <font>
      <sz val="10"/>
      <color theme="1" tint="0.499984740745262"/>
      <name val="Arial"/>
      <family val="2"/>
      <charset val="238"/>
    </font>
    <font>
      <sz val="10"/>
      <color theme="1" tint="0.34998626667073579"/>
      <name val="Arial"/>
      <family val="2"/>
      <charset val="238"/>
    </font>
    <font>
      <sz val="10"/>
      <color theme="1" tint="0.249977111117893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2007A"/>
        <bgColor indexed="64"/>
      </patternFill>
    </fill>
    <fill>
      <patternFill patternType="solid">
        <fgColor rgb="FFE2007A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6357615894039736E-2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rgb="FFE2007A"/>
      </bottom>
      <diagonal/>
    </border>
    <border>
      <left/>
      <right/>
      <top style="thin">
        <color rgb="FFE2007A"/>
      </top>
      <bottom/>
      <diagonal/>
    </border>
    <border>
      <left/>
      <right/>
      <top style="thin">
        <color rgb="FF949494"/>
      </top>
      <bottom/>
      <diagonal/>
    </border>
    <border>
      <left/>
      <right/>
      <top/>
      <bottom style="thin">
        <color rgb="FF949494"/>
      </bottom>
      <diagonal/>
    </border>
    <border>
      <left/>
      <right/>
      <top style="thin">
        <color rgb="FF949494"/>
      </top>
      <bottom style="thin">
        <color rgb="FF949494"/>
      </bottom>
      <diagonal/>
    </border>
    <border>
      <left/>
      <right/>
      <top style="thin">
        <color rgb="FFE2007A"/>
      </top>
      <bottom style="thin">
        <color rgb="FF949494"/>
      </bottom>
      <diagonal/>
    </border>
    <border>
      <left/>
      <right/>
      <top style="thin">
        <color rgb="FFE2007A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rgb="FFE2007A"/>
      </top>
      <bottom style="thin">
        <color rgb="FFE2007A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rgb="FF5E5E5E"/>
      </top>
      <bottom/>
      <diagonal/>
    </border>
    <border>
      <left/>
      <right/>
      <top style="thin">
        <color rgb="FF5E5E5E"/>
      </top>
      <bottom style="thin">
        <color rgb="FF5E5E5E"/>
      </bottom>
      <diagonal/>
    </border>
    <border>
      <left/>
      <right/>
      <top style="thin">
        <color rgb="FFFF33CC"/>
      </top>
      <bottom style="thin">
        <color rgb="FFFF33CC"/>
      </bottom>
      <diagonal/>
    </border>
    <border>
      <left/>
      <right/>
      <top/>
      <bottom style="thin">
        <color rgb="FFFF33CC"/>
      </bottom>
      <diagonal/>
    </border>
    <border>
      <left/>
      <right/>
      <top/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hair">
        <color rgb="FF808080"/>
      </top>
      <bottom style="hair">
        <color rgb="FF808080"/>
      </bottom>
      <diagonal/>
    </border>
    <border>
      <left style="thin">
        <color rgb="FF808080"/>
      </left>
      <right style="thin">
        <color rgb="FF808080"/>
      </right>
      <top style="hair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dotted">
        <color rgb="FF808080"/>
      </top>
      <bottom style="dotted">
        <color rgb="FF808080"/>
      </bottom>
      <diagonal/>
    </border>
    <border>
      <left style="thin">
        <color rgb="FF808080"/>
      </left>
      <right style="thin">
        <color rgb="FF808080"/>
      </right>
      <top style="dotted">
        <color rgb="FF808080"/>
      </top>
      <bottom style="thin">
        <color rgb="FF808080"/>
      </bottom>
      <diagonal/>
    </border>
    <border>
      <left style="thin">
        <color rgb="FF808080"/>
      </left>
      <right style="hair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808080"/>
      </left>
      <right style="hair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808080"/>
      </left>
      <right style="hair">
        <color rgb="FF808080"/>
      </right>
      <top style="thin">
        <color rgb="FF808080"/>
      </top>
      <bottom/>
      <diagonal/>
    </border>
    <border>
      <left style="hair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hair">
        <color rgb="FF808080"/>
      </right>
      <top style="thin">
        <color rgb="FF808080"/>
      </top>
      <bottom/>
      <diagonal/>
    </border>
    <border>
      <left style="hair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 style="thin">
        <color rgb="FF808080"/>
      </right>
      <top style="hair">
        <color rgb="FF808080"/>
      </top>
      <bottom style="hair">
        <color rgb="FF808080"/>
      </bottom>
      <diagonal/>
    </border>
    <border>
      <left style="thin">
        <color rgb="FF808080"/>
      </left>
      <right style="hair">
        <color rgb="FF808080"/>
      </right>
      <top style="hair">
        <color rgb="FF808080"/>
      </top>
      <bottom style="thin">
        <color rgb="FF808080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thin">
        <color rgb="FF808080"/>
      </bottom>
      <diagonal/>
    </border>
    <border>
      <left style="hair">
        <color rgb="FF808080"/>
      </left>
      <right style="thin">
        <color rgb="FF808080"/>
      </right>
      <top style="hair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hair">
        <color rgb="FF808080"/>
      </top>
      <bottom style="hair">
        <color rgb="FF808080"/>
      </bottom>
      <diagonal/>
    </border>
    <border>
      <left style="thin">
        <color rgb="FF808080"/>
      </left>
      <right/>
      <top style="hair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/>
      <right style="thin">
        <color rgb="FF808080"/>
      </right>
      <top style="hair">
        <color rgb="FF808080"/>
      </top>
      <bottom style="hair">
        <color rgb="FF808080"/>
      </bottom>
      <diagonal/>
    </border>
    <border>
      <left/>
      <right style="thin">
        <color rgb="FF808080"/>
      </right>
      <top style="hair">
        <color rgb="FF808080"/>
      </top>
      <bottom style="thin">
        <color rgb="FF808080"/>
      </bottom>
      <diagonal/>
    </border>
    <border>
      <left/>
      <right/>
      <top/>
      <bottom style="thin">
        <color rgb="FFFF66CC"/>
      </bottom>
      <diagonal/>
    </border>
    <border>
      <left/>
      <right/>
      <top/>
      <bottom style="thin">
        <color theme="1" tint="0.499984740745262"/>
      </bottom>
      <diagonal/>
    </border>
    <border>
      <left style="thick">
        <color theme="1" tint="0.34998626667073579"/>
      </left>
      <right style="thick">
        <color theme="1" tint="0.34998626667073579"/>
      </right>
      <top/>
      <bottom/>
      <diagonal/>
    </border>
    <border>
      <left style="thick">
        <color theme="1" tint="0.34998626667073579"/>
      </left>
      <right style="thick">
        <color theme="1" tint="0.34998626667073579"/>
      </right>
      <top/>
      <bottom style="thin">
        <color theme="0" tint="-0.499984740745262"/>
      </bottom>
      <diagonal/>
    </border>
    <border>
      <left style="thick">
        <color theme="1" tint="0.34998626667073579"/>
      </left>
      <right style="thick">
        <color theme="1" tint="0.34998626667073579"/>
      </right>
      <top/>
      <bottom style="thin">
        <color rgb="FF949494"/>
      </bottom>
      <diagonal/>
    </border>
    <border>
      <left style="thick">
        <color theme="1" tint="0.34998626667073579"/>
      </left>
      <right style="thick">
        <color theme="1" tint="0.34998626667073579"/>
      </right>
      <top style="thin">
        <color rgb="FF949494"/>
      </top>
      <bottom style="thin">
        <color rgb="FF94949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rgb="FFE2007A"/>
      </bottom>
      <diagonal/>
    </border>
    <border>
      <left style="thick">
        <color auto="1"/>
      </left>
      <right style="thick">
        <color auto="1"/>
      </right>
      <top style="thin">
        <color rgb="FF949494"/>
      </top>
      <bottom style="thin">
        <color rgb="FF949494"/>
      </bottom>
      <diagonal/>
    </border>
    <border>
      <left style="thick">
        <color auto="1"/>
      </left>
      <right style="thick">
        <color auto="1"/>
      </right>
      <top/>
      <bottom style="thin">
        <color rgb="FF949494"/>
      </bottom>
      <diagonal/>
    </border>
    <border>
      <left style="thick">
        <color auto="1"/>
      </left>
      <right style="thick">
        <color auto="1"/>
      </right>
      <top style="thin">
        <color rgb="FFE2007A"/>
      </top>
      <bottom style="thin">
        <color rgb="FF949494"/>
      </bottom>
      <diagonal/>
    </border>
    <border>
      <left style="thick">
        <color auto="1"/>
      </left>
      <right style="thick">
        <color auto="1"/>
      </right>
      <top/>
      <bottom style="thin">
        <color theme="0" tint="-0.499984740745262"/>
      </bottom>
      <diagonal/>
    </border>
    <border>
      <left style="thick">
        <color auto="1"/>
      </left>
      <right style="thick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auto="1"/>
      </right>
      <top style="thin">
        <color rgb="FF949494"/>
      </top>
      <bottom style="thin">
        <color rgb="FF949494"/>
      </bottom>
      <diagonal/>
    </border>
    <border>
      <left style="thick">
        <color theme="1" tint="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n">
        <color rgb="FFE2007A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34998626667073579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60" fillId="11" borderId="0" applyNumberFormat="0" applyBorder="0" applyAlignment="0" applyProtection="0"/>
    <xf numFmtId="0" fontId="76" fillId="0" borderId="0"/>
    <xf numFmtId="176" fontId="47" fillId="13" borderId="0" applyFont="0" applyFill="0" applyBorder="0" applyProtection="0">
      <alignment horizontal="right" vertical="center"/>
    </xf>
  </cellStyleXfs>
  <cellXfs count="701">
    <xf numFmtId="0" fontId="0" fillId="0" borderId="0" xfId="0"/>
    <xf numFmtId="0" fontId="2" fillId="2" borderId="1" xfId="0" applyFont="1" applyFill="1" applyBorder="1" applyAlignment="1">
      <alignment horizontal="left" vertical="center" indent="1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3" fillId="2" borderId="1" xfId="0" applyFont="1" applyFill="1" applyBorder="1"/>
    <xf numFmtId="0" fontId="4" fillId="2" borderId="0" xfId="0" applyFont="1" applyFill="1"/>
    <xf numFmtId="0" fontId="4" fillId="2" borderId="2" xfId="0" applyFont="1" applyFill="1" applyBorder="1" applyAlignment="1">
      <alignment horizontal="center" vertical="center" wrapText="1"/>
    </xf>
    <xf numFmtId="3" fontId="4" fillId="2" borderId="0" xfId="1" applyNumberFormat="1" applyFont="1" applyFill="1" applyBorder="1"/>
    <xf numFmtId="0" fontId="0" fillId="2" borderId="0" xfId="0" applyFill="1"/>
    <xf numFmtId="0" fontId="4" fillId="2" borderId="3" xfId="0" applyFont="1" applyFill="1" applyBorder="1"/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3" fontId="4" fillId="2" borderId="0" xfId="0" applyNumberFormat="1" applyFont="1" applyFill="1"/>
    <xf numFmtId="4" fontId="4" fillId="2" borderId="0" xfId="0" applyNumberFormat="1" applyFont="1" applyFill="1"/>
    <xf numFmtId="0" fontId="4" fillId="2" borderId="4" xfId="0" applyFont="1" applyFill="1" applyBorder="1"/>
    <xf numFmtId="0" fontId="4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5" fillId="2" borderId="0" xfId="0" applyFont="1" applyFill="1"/>
    <xf numFmtId="166" fontId="9" fillId="2" borderId="3" xfId="1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indent="1"/>
    </xf>
    <xf numFmtId="0" fontId="4" fillId="2" borderId="0" xfId="0" applyFont="1" applyFill="1" applyAlignment="1">
      <alignment horizontal="right" vertical="center"/>
    </xf>
    <xf numFmtId="0" fontId="11" fillId="2" borderId="4" xfId="0" applyFont="1" applyFill="1" applyBorder="1"/>
    <xf numFmtId="0" fontId="4" fillId="2" borderId="4" xfId="0" applyFont="1" applyFill="1" applyBorder="1" applyAlignment="1">
      <alignment horizontal="left" indent="1"/>
    </xf>
    <xf numFmtId="166" fontId="9" fillId="2" borderId="0" xfId="1" applyNumberFormat="1" applyFont="1" applyFill="1" applyBorder="1" applyAlignment="1">
      <alignment horizontal="right" vertical="center"/>
    </xf>
    <xf numFmtId="0" fontId="5" fillId="2" borderId="3" xfId="0" applyFont="1" applyFill="1" applyBorder="1"/>
    <xf numFmtId="0" fontId="4" fillId="2" borderId="4" xfId="0" applyFont="1" applyFill="1" applyBorder="1" applyAlignment="1">
      <alignment horizontal="right" vertical="center"/>
    </xf>
    <xf numFmtId="0" fontId="12" fillId="2" borderId="3" xfId="0" applyFont="1" applyFill="1" applyBorder="1"/>
    <xf numFmtId="166" fontId="12" fillId="2" borderId="3" xfId="1" applyNumberFormat="1" applyFont="1" applyFill="1" applyBorder="1" applyAlignment="1">
      <alignment horizontal="right" vertical="center"/>
    </xf>
    <xf numFmtId="0" fontId="13" fillId="2" borderId="4" xfId="0" applyFont="1" applyFill="1" applyBorder="1" applyAlignment="1">
      <alignment horizontal="left" indent="1"/>
    </xf>
    <xf numFmtId="0" fontId="13" fillId="2" borderId="4" xfId="0" applyFont="1" applyFill="1" applyBorder="1"/>
    <xf numFmtId="0" fontId="15" fillId="2" borderId="0" xfId="0" applyFont="1" applyFill="1" applyAlignment="1">
      <alignment vertical="center"/>
    </xf>
    <xf numFmtId="166" fontId="10" fillId="2" borderId="0" xfId="1" applyNumberFormat="1" applyFont="1" applyFill="1" applyBorder="1" applyAlignment="1">
      <alignment vertical="center"/>
    </xf>
    <xf numFmtId="0" fontId="16" fillId="3" borderId="0" xfId="0" applyFont="1" applyFill="1" applyAlignment="1">
      <alignment horizontal="left" indent="1"/>
    </xf>
    <xf numFmtId="0" fontId="17" fillId="3" borderId="0" xfId="0" applyFont="1" applyFill="1"/>
    <xf numFmtId="166" fontId="16" fillId="3" borderId="0" xfId="0" applyNumberFormat="1" applyFont="1" applyFill="1" applyAlignment="1">
      <alignment horizontal="right" vertical="center"/>
    </xf>
    <xf numFmtId="0" fontId="18" fillId="2" borderId="0" xfId="0" applyFont="1" applyFill="1"/>
    <xf numFmtId="166" fontId="18" fillId="2" borderId="0" xfId="1" applyNumberFormat="1" applyFont="1" applyFill="1" applyBorder="1" applyAlignment="1">
      <alignment horizontal="right" vertical="center"/>
    </xf>
    <xf numFmtId="166" fontId="19" fillId="2" borderId="0" xfId="1" applyNumberFormat="1" applyFont="1" applyFill="1" applyBorder="1" applyAlignment="1">
      <alignment horizontal="right" vertical="center"/>
    </xf>
    <xf numFmtId="0" fontId="18" fillId="2" borderId="5" xfId="0" applyFont="1" applyFill="1" applyBorder="1"/>
    <xf numFmtId="166" fontId="9" fillId="2" borderId="5" xfId="1" applyNumberFormat="1" applyFont="1" applyFill="1" applyBorder="1" applyAlignment="1">
      <alignment horizontal="right" vertical="center"/>
    </xf>
    <xf numFmtId="0" fontId="12" fillId="2" borderId="5" xfId="0" applyFont="1" applyFill="1" applyBorder="1"/>
    <xf numFmtId="166" fontId="12" fillId="2" borderId="5" xfId="1" applyNumberFormat="1" applyFont="1" applyFill="1" applyBorder="1" applyAlignment="1">
      <alignment horizontal="right" vertical="center"/>
    </xf>
    <xf numFmtId="0" fontId="5" fillId="2" borderId="4" xfId="0" applyFont="1" applyFill="1" applyBorder="1"/>
    <xf numFmtId="1" fontId="4" fillId="2" borderId="0" xfId="0" applyNumberFormat="1" applyFont="1" applyFill="1" applyAlignment="1">
      <alignment horizontal="right" vertical="center"/>
    </xf>
    <xf numFmtId="166" fontId="5" fillId="2" borderId="5" xfId="1" applyNumberFormat="1" applyFont="1" applyFill="1" applyBorder="1" applyAlignment="1">
      <alignment horizontal="right" vertical="center"/>
    </xf>
    <xf numFmtId="166" fontId="10" fillId="2" borderId="0" xfId="1" applyNumberFormat="1" applyFont="1" applyFill="1" applyBorder="1" applyAlignment="1">
      <alignment horizontal="right" vertical="center"/>
    </xf>
    <xf numFmtId="0" fontId="5" fillId="2" borderId="5" xfId="0" applyFont="1" applyFill="1" applyBorder="1"/>
    <xf numFmtId="166" fontId="10" fillId="2" borderId="5" xfId="1" applyNumberFormat="1" applyFont="1" applyFill="1" applyBorder="1" applyAlignment="1">
      <alignment horizontal="right" vertical="center"/>
    </xf>
    <xf numFmtId="166" fontId="20" fillId="3" borderId="0" xfId="0" applyNumberFormat="1" applyFont="1" applyFill="1" applyAlignment="1">
      <alignment horizontal="right" vertical="center"/>
    </xf>
    <xf numFmtId="0" fontId="21" fillId="2" borderId="0" xfId="0" applyFont="1" applyFill="1"/>
    <xf numFmtId="0" fontId="22" fillId="2" borderId="0" xfId="0" applyFont="1" applyFill="1"/>
    <xf numFmtId="0" fontId="7" fillId="2" borderId="1" xfId="0" applyFont="1" applyFill="1" applyBorder="1" applyAlignment="1">
      <alignment vertical="center"/>
    </xf>
    <xf numFmtId="0" fontId="2" fillId="2" borderId="0" xfId="0" applyFont="1" applyFill="1" applyAlignment="1">
      <alignment horizontal="left" vertical="center" indent="1"/>
    </xf>
    <xf numFmtId="0" fontId="4" fillId="2" borderId="0" xfId="0" applyFont="1" applyFill="1" applyAlignment="1">
      <alignment vertical="center"/>
    </xf>
    <xf numFmtId="0" fontId="4" fillId="2" borderId="7" xfId="0" applyFont="1" applyFill="1" applyBorder="1" applyAlignment="1">
      <alignment horizontal="center" vertical="center" wrapText="1"/>
    </xf>
    <xf numFmtId="165" fontId="4" fillId="2" borderId="0" xfId="1" applyNumberFormat="1" applyFont="1" applyFill="1" applyBorder="1"/>
    <xf numFmtId="0" fontId="4" fillId="2" borderId="6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1" fillId="2" borderId="3" xfId="0" applyFont="1" applyFill="1" applyBorder="1"/>
    <xf numFmtId="0" fontId="11" fillId="2" borderId="0" xfId="0" applyFont="1" applyFill="1"/>
    <xf numFmtId="0" fontId="23" fillId="2" borderId="0" xfId="0" applyFont="1" applyFill="1"/>
    <xf numFmtId="0" fontId="10" fillId="2" borderId="6" xfId="0" quotePrefix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/>
    </xf>
    <xf numFmtId="0" fontId="25" fillId="2" borderId="0" xfId="0" applyFont="1" applyFill="1"/>
    <xf numFmtId="0" fontId="26" fillId="2" borderId="1" xfId="0" applyFont="1" applyFill="1" applyBorder="1" applyAlignment="1">
      <alignment horizontal="left" vertical="center" indent="1"/>
    </xf>
    <xf numFmtId="0" fontId="28" fillId="2" borderId="0" xfId="0" applyFont="1" applyFill="1"/>
    <xf numFmtId="0" fontId="10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/>
    <xf numFmtId="165" fontId="10" fillId="2" borderId="0" xfId="0" applyNumberFormat="1" applyFont="1" applyFill="1"/>
    <xf numFmtId="0" fontId="9" fillId="2" borderId="0" xfId="0" applyFont="1" applyFill="1" applyAlignment="1">
      <alignment vertical="center" wrapText="1"/>
    </xf>
    <xf numFmtId="169" fontId="10" fillId="2" borderId="0" xfId="0" applyNumberFormat="1" applyFont="1" applyFill="1"/>
    <xf numFmtId="165" fontId="9" fillId="2" borderId="0" xfId="0" applyNumberFormat="1" applyFont="1" applyFill="1"/>
    <xf numFmtId="0" fontId="10" fillId="2" borderId="6" xfId="0" applyFont="1" applyFill="1" applyBorder="1" applyAlignment="1">
      <alignment horizontal="left" vertical="center"/>
    </xf>
    <xf numFmtId="0" fontId="10" fillId="2" borderId="0" xfId="0" applyFont="1" applyFill="1"/>
    <xf numFmtId="0" fontId="10" fillId="2" borderId="4" xfId="0" applyFont="1" applyFill="1" applyBorder="1"/>
    <xf numFmtId="0" fontId="10" fillId="2" borderId="0" xfId="0" applyFont="1" applyFill="1" applyAlignment="1">
      <alignment horizontal="center" vertical="center"/>
    </xf>
    <xf numFmtId="0" fontId="10" fillId="2" borderId="5" xfId="0" applyFont="1" applyFill="1" applyBorder="1"/>
    <xf numFmtId="0" fontId="10" fillId="2" borderId="8" xfId="0" applyFont="1" applyFill="1" applyBorder="1"/>
    <xf numFmtId="165" fontId="10" fillId="2" borderId="8" xfId="0" applyNumberFormat="1" applyFont="1" applyFill="1" applyBorder="1"/>
    <xf numFmtId="0" fontId="10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indent="1"/>
    </xf>
    <xf numFmtId="0" fontId="27" fillId="2" borderId="0" xfId="0" applyFont="1" applyFill="1" applyAlignment="1">
      <alignment vertical="center"/>
    </xf>
    <xf numFmtId="0" fontId="27" fillId="4" borderId="0" xfId="0" applyFont="1" applyFill="1" applyAlignment="1">
      <alignment horizontal="left" vertical="center" indent="1"/>
    </xf>
    <xf numFmtId="0" fontId="10" fillId="2" borderId="6" xfId="0" applyFont="1" applyFill="1" applyBorder="1"/>
    <xf numFmtId="3" fontId="10" fillId="2" borderId="0" xfId="0" applyNumberFormat="1" applyFont="1" applyFill="1"/>
    <xf numFmtId="165" fontId="28" fillId="2" borderId="0" xfId="0" applyNumberFormat="1" applyFont="1" applyFill="1"/>
    <xf numFmtId="3" fontId="10" fillId="2" borderId="8" xfId="0" applyNumberFormat="1" applyFont="1" applyFill="1" applyBorder="1"/>
    <xf numFmtId="165" fontId="10" fillId="2" borderId="10" xfId="0" applyNumberFormat="1" applyFont="1" applyFill="1" applyBorder="1"/>
    <xf numFmtId="165" fontId="10" fillId="2" borderId="4" xfId="0" applyNumberFormat="1" applyFont="1" applyFill="1" applyBorder="1"/>
    <xf numFmtId="0" fontId="10" fillId="2" borderId="3" xfId="0" applyFont="1" applyFill="1" applyBorder="1"/>
    <xf numFmtId="0" fontId="10" fillId="2" borderId="4" xfId="0" applyFont="1" applyFill="1" applyBorder="1" applyAlignment="1">
      <alignment horizontal="left" indent="1"/>
    </xf>
    <xf numFmtId="165" fontId="10" fillId="2" borderId="5" xfId="0" applyNumberFormat="1" applyFont="1" applyFill="1" applyBorder="1" applyAlignment="1">
      <alignment horizontal="right"/>
    </xf>
    <xf numFmtId="170" fontId="10" fillId="2" borderId="8" xfId="0" applyNumberFormat="1" applyFont="1" applyFill="1" applyBorder="1"/>
    <xf numFmtId="0" fontId="10" fillId="2" borderId="11" xfId="0" applyFont="1" applyFill="1" applyBorder="1"/>
    <xf numFmtId="165" fontId="9" fillId="2" borderId="5" xfId="0" applyNumberFormat="1" applyFont="1" applyFill="1" applyBorder="1"/>
    <xf numFmtId="165" fontId="10" fillId="2" borderId="5" xfId="0" applyNumberFormat="1" applyFont="1" applyFill="1" applyBorder="1"/>
    <xf numFmtId="0" fontId="28" fillId="2" borderId="5" xfId="0" applyFont="1" applyFill="1" applyBorder="1"/>
    <xf numFmtId="0" fontId="27" fillId="2" borderId="1" xfId="0" applyFont="1" applyFill="1" applyBorder="1" applyAlignment="1">
      <alignment vertical="center"/>
    </xf>
    <xf numFmtId="171" fontId="28" fillId="2" borderId="0" xfId="0" applyNumberFormat="1" applyFont="1" applyFill="1"/>
    <xf numFmtId="171" fontId="10" fillId="2" borderId="0" xfId="0" applyNumberFormat="1" applyFont="1" applyFill="1" applyAlignment="1" applyProtection="1">
      <alignment horizontal="right" vertical="center"/>
      <protection locked="0"/>
    </xf>
    <xf numFmtId="0" fontId="28" fillId="0" borderId="0" xfId="0" applyFont="1"/>
    <xf numFmtId="171" fontId="10" fillId="2" borderId="10" xfId="0" applyNumberFormat="1" applyFont="1" applyFill="1" applyBorder="1" applyAlignment="1" applyProtection="1">
      <alignment horizontal="right" vertical="center"/>
      <protection locked="0"/>
    </xf>
    <xf numFmtId="170" fontId="10" fillId="2" borderId="8" xfId="0" applyNumberFormat="1" applyFont="1" applyFill="1" applyBorder="1" applyAlignment="1" applyProtection="1">
      <alignment horizontal="right" vertical="center"/>
      <protection locked="0"/>
    </xf>
    <xf numFmtId="0" fontId="31" fillId="2" borderId="0" xfId="0" applyFont="1" applyFill="1"/>
    <xf numFmtId="0" fontId="31" fillId="4" borderId="1" xfId="0" applyFont="1" applyFill="1" applyBorder="1"/>
    <xf numFmtId="171" fontId="10" fillId="2" borderId="8" xfId="0" applyNumberFormat="1" applyFont="1" applyFill="1" applyBorder="1" applyAlignment="1" applyProtection="1">
      <alignment horizontal="right" vertical="center"/>
      <protection locked="0"/>
    </xf>
    <xf numFmtId="171" fontId="10" fillId="2" borderId="12" xfId="0" applyNumberFormat="1" applyFont="1" applyFill="1" applyBorder="1" applyAlignment="1" applyProtection="1">
      <alignment horizontal="right" vertical="center"/>
      <protection locked="0"/>
    </xf>
    <xf numFmtId="171" fontId="15" fillId="2" borderId="0" xfId="0" applyNumberFormat="1" applyFont="1" applyFill="1"/>
    <xf numFmtId="171" fontId="15" fillId="2" borderId="8" xfId="0" applyNumberFormat="1" applyFont="1" applyFill="1" applyBorder="1"/>
    <xf numFmtId="171" fontId="10" fillId="2" borderId="13" xfId="0" applyNumberFormat="1" applyFont="1" applyFill="1" applyBorder="1" applyAlignment="1" applyProtection="1">
      <alignment horizontal="right" vertical="center"/>
      <protection locked="0"/>
    </xf>
    <xf numFmtId="165" fontId="31" fillId="2" borderId="0" xfId="0" applyNumberFormat="1" applyFont="1" applyFill="1"/>
    <xf numFmtId="0" fontId="10" fillId="0" borderId="0" xfId="0" applyFont="1"/>
    <xf numFmtId="165" fontId="10" fillId="2" borderId="5" xfId="0" applyNumberFormat="1" applyFont="1" applyFill="1" applyBorder="1" applyAlignment="1">
      <alignment horizontal="right" vertical="top"/>
    </xf>
    <xf numFmtId="172" fontId="10" fillId="2" borderId="8" xfId="0" applyNumberFormat="1" applyFont="1" applyFill="1" applyBorder="1" applyAlignment="1">
      <alignment horizontal="right" vertical="top"/>
    </xf>
    <xf numFmtId="170" fontId="28" fillId="2" borderId="0" xfId="0" applyNumberFormat="1" applyFont="1" applyFill="1"/>
    <xf numFmtId="0" fontId="24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33" fillId="2" borderId="0" xfId="0" applyFont="1" applyFill="1" applyAlignment="1">
      <alignment vertical="center" wrapText="1"/>
    </xf>
    <xf numFmtId="0" fontId="33" fillId="2" borderId="0" xfId="0" applyFont="1" applyFill="1" applyAlignment="1">
      <alignment horizontal="left" vertical="center" wrapText="1"/>
    </xf>
    <xf numFmtId="0" fontId="32" fillId="2" borderId="0" xfId="0" applyFont="1" applyFill="1" applyAlignment="1">
      <alignment vertical="center" wrapText="1"/>
    </xf>
    <xf numFmtId="0" fontId="33" fillId="2" borderId="0" xfId="0" quotePrefix="1" applyFont="1" applyFill="1" applyAlignment="1">
      <alignment horizontal="left" vertical="center" wrapText="1"/>
    </xf>
    <xf numFmtId="0" fontId="24" fillId="2" borderId="0" xfId="0" applyFont="1" applyFill="1" applyAlignment="1">
      <alignment horizontal="center" vertical="center" wrapText="1"/>
    </xf>
    <xf numFmtId="0" fontId="28" fillId="6" borderId="0" xfId="0" applyFont="1" applyFill="1"/>
    <xf numFmtId="0" fontId="28" fillId="7" borderId="0" xfId="0" applyFont="1" applyFill="1"/>
    <xf numFmtId="0" fontId="28" fillId="2" borderId="4" xfId="0" applyFont="1" applyFill="1" applyBorder="1"/>
    <xf numFmtId="165" fontId="34" fillId="2" borderId="0" xfId="0" applyNumberFormat="1" applyFont="1" applyFill="1"/>
    <xf numFmtId="165" fontId="28" fillId="2" borderId="5" xfId="0" applyNumberFormat="1" applyFont="1" applyFill="1" applyBorder="1"/>
    <xf numFmtId="165" fontId="9" fillId="2" borderId="4" xfId="0" applyNumberFormat="1" applyFont="1" applyFill="1" applyBorder="1"/>
    <xf numFmtId="0" fontId="5" fillId="2" borderId="0" xfId="0" applyFont="1" applyFill="1" applyAlignment="1">
      <alignment horizontal="center" vertical="center" wrapText="1"/>
    </xf>
    <xf numFmtId="0" fontId="3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37" fillId="2" borderId="0" xfId="0" applyFont="1" applyFill="1" applyAlignment="1">
      <alignment horizontal="center" vertical="center" wrapText="1"/>
    </xf>
    <xf numFmtId="4" fontId="38" fillId="2" borderId="4" xfId="0" applyNumberFormat="1" applyFont="1" applyFill="1" applyBorder="1"/>
    <xf numFmtId="2" fontId="38" fillId="2" borderId="0" xfId="0" applyNumberFormat="1" applyFont="1" applyFill="1"/>
    <xf numFmtId="2" fontId="38" fillId="2" borderId="3" xfId="0" applyNumberFormat="1" applyFont="1" applyFill="1" applyBorder="1"/>
    <xf numFmtId="4" fontId="38" fillId="2" borderId="0" xfId="0" applyNumberFormat="1" applyFont="1" applyFill="1"/>
    <xf numFmtId="165" fontId="38" fillId="2" borderId="3" xfId="1" applyNumberFormat="1" applyFont="1" applyFill="1" applyBorder="1"/>
    <xf numFmtId="165" fontId="38" fillId="2" borderId="0" xfId="1" applyNumberFormat="1" applyFont="1" applyFill="1" applyBorder="1"/>
    <xf numFmtId="165" fontId="38" fillId="2" borderId="4" xfId="1" applyNumberFormat="1" applyFont="1" applyFill="1" applyBorder="1"/>
    <xf numFmtId="0" fontId="0" fillId="2" borderId="0" xfId="0" applyFill="1" applyAlignment="1">
      <alignment horizontal="right"/>
    </xf>
    <xf numFmtId="165" fontId="4" fillId="2" borderId="0" xfId="1" applyNumberFormat="1" applyFont="1" applyFill="1" applyBorder="1" applyAlignment="1">
      <alignment horizontal="right"/>
    </xf>
    <xf numFmtId="166" fontId="0" fillId="2" borderId="0" xfId="0" applyNumberFormat="1" applyFill="1"/>
    <xf numFmtId="0" fontId="6" fillId="2" borderId="0" xfId="0" quotePrefix="1" applyFont="1" applyFill="1" applyAlignment="1">
      <alignment horizontal="left" vertical="center" wrapText="1"/>
    </xf>
    <xf numFmtId="0" fontId="40" fillId="2" borderId="0" xfId="0" applyFont="1" applyFill="1" applyAlignment="1">
      <alignment vertical="center"/>
    </xf>
    <xf numFmtId="0" fontId="39" fillId="2" borderId="2" xfId="0" applyFont="1" applyFill="1" applyBorder="1" applyAlignment="1">
      <alignment horizontal="center" vertical="center" wrapText="1"/>
    </xf>
    <xf numFmtId="0" fontId="41" fillId="2" borderId="2" xfId="0" applyFont="1" applyFill="1" applyBorder="1" applyAlignment="1">
      <alignment horizontal="center" vertical="center" wrapText="1"/>
    </xf>
    <xf numFmtId="0" fontId="42" fillId="2" borderId="0" xfId="0" applyFont="1" applyFill="1" applyAlignment="1">
      <alignment horizontal="left" vertical="center" indent="1"/>
    </xf>
    <xf numFmtId="0" fontId="43" fillId="2" borderId="0" xfId="0" applyFont="1" applyFill="1" applyAlignment="1">
      <alignment vertical="center"/>
    </xf>
    <xf numFmtId="0" fontId="43" fillId="2" borderId="1" xfId="0" applyFont="1" applyFill="1" applyBorder="1" applyAlignment="1">
      <alignment vertical="center"/>
    </xf>
    <xf numFmtId="165" fontId="39" fillId="2" borderId="0" xfId="1" applyNumberFormat="1" applyFont="1" applyFill="1" applyBorder="1"/>
    <xf numFmtId="0" fontId="40" fillId="2" borderId="0" xfId="0" applyFont="1" applyFill="1"/>
    <xf numFmtId="0" fontId="39" fillId="2" borderId="0" xfId="0" applyFont="1" applyFill="1" applyAlignment="1">
      <alignment horizontal="left" vertical="center"/>
    </xf>
    <xf numFmtId="0" fontId="39" fillId="2" borderId="6" xfId="0" applyFont="1" applyFill="1" applyBorder="1" applyAlignment="1">
      <alignment horizontal="left" vertical="center"/>
    </xf>
    <xf numFmtId="0" fontId="39" fillId="2" borderId="6" xfId="0" applyFont="1" applyFill="1" applyBorder="1" applyAlignment="1">
      <alignment horizontal="center" vertical="center" wrapText="1"/>
    </xf>
    <xf numFmtId="165" fontId="41" fillId="2" borderId="3" xfId="1" applyNumberFormat="1" applyFont="1" applyFill="1" applyBorder="1"/>
    <xf numFmtId="165" fontId="39" fillId="2" borderId="3" xfId="1" applyNumberFormat="1" applyFont="1" applyFill="1" applyBorder="1"/>
    <xf numFmtId="0" fontId="39" fillId="2" borderId="0" xfId="0" applyFont="1" applyFill="1"/>
    <xf numFmtId="0" fontId="39" fillId="2" borderId="3" xfId="0" applyFont="1" applyFill="1" applyBorder="1"/>
    <xf numFmtId="3" fontId="39" fillId="2" borderId="3" xfId="0" applyNumberFormat="1" applyFont="1" applyFill="1" applyBorder="1"/>
    <xf numFmtId="165" fontId="41" fillId="2" borderId="0" xfId="1" applyNumberFormat="1" applyFont="1" applyFill="1" applyBorder="1"/>
    <xf numFmtId="3" fontId="39" fillId="2" borderId="0" xfId="0" applyNumberFormat="1" applyFont="1" applyFill="1"/>
    <xf numFmtId="0" fontId="44" fillId="2" borderId="0" xfId="0" applyFont="1" applyFill="1"/>
    <xf numFmtId="165" fontId="41" fillId="2" borderId="4" xfId="1" applyNumberFormat="1" applyFont="1" applyFill="1" applyBorder="1"/>
    <xf numFmtId="165" fontId="39" fillId="2" borderId="4" xfId="1" applyNumberFormat="1" applyFont="1" applyFill="1" applyBorder="1"/>
    <xf numFmtId="0" fontId="41" fillId="2" borderId="0" xfId="0" applyFont="1" applyFill="1"/>
    <xf numFmtId="0" fontId="45" fillId="2" borderId="0" xfId="0" applyFont="1" applyFill="1"/>
    <xf numFmtId="0" fontId="39" fillId="2" borderId="4" xfId="0" applyFont="1" applyFill="1" applyBorder="1"/>
    <xf numFmtId="3" fontId="39" fillId="2" borderId="4" xfId="0" applyNumberFormat="1" applyFont="1" applyFill="1" applyBorder="1"/>
    <xf numFmtId="165" fontId="39" fillId="2" borderId="1" xfId="1" applyNumberFormat="1" applyFont="1" applyFill="1" applyBorder="1"/>
    <xf numFmtId="165" fontId="39" fillId="2" borderId="6" xfId="1" applyNumberFormat="1" applyFont="1" applyFill="1" applyBorder="1" applyAlignment="1">
      <alignment vertical="center"/>
    </xf>
    <xf numFmtId="0" fontId="39" fillId="2" borderId="7" xfId="0" applyFont="1" applyFill="1" applyBorder="1" applyAlignment="1">
      <alignment horizontal="center" vertical="center" wrapText="1"/>
    </xf>
    <xf numFmtId="0" fontId="39" fillId="2" borderId="0" xfId="0" applyFont="1" applyFill="1" applyAlignment="1">
      <alignment vertical="center"/>
    </xf>
    <xf numFmtId="0" fontId="39" fillId="2" borderId="0" xfId="0" applyFont="1" applyFill="1" applyAlignment="1">
      <alignment horizontal="center" vertical="center" wrapText="1"/>
    </xf>
    <xf numFmtId="165" fontId="39" fillId="2" borderId="0" xfId="1" applyNumberFormat="1" applyFont="1" applyFill="1"/>
    <xf numFmtId="165" fontId="39" fillId="2" borderId="8" xfId="1" applyNumberFormat="1" applyFont="1" applyFill="1" applyBorder="1"/>
    <xf numFmtId="0" fontId="40" fillId="2" borderId="0" xfId="0" applyFont="1" applyFill="1" applyAlignment="1">
      <alignment horizontal="right"/>
    </xf>
    <xf numFmtId="165" fontId="39" fillId="2" borderId="0" xfId="1" applyNumberFormat="1" applyFont="1" applyFill="1" applyBorder="1" applyAlignment="1">
      <alignment horizontal="right"/>
    </xf>
    <xf numFmtId="165" fontId="39" fillId="2" borderId="8" xfId="1" applyNumberFormat="1" applyFont="1" applyFill="1" applyBorder="1" applyAlignment="1">
      <alignment horizontal="right"/>
    </xf>
    <xf numFmtId="3" fontId="39" fillId="2" borderId="0" xfId="1" applyNumberFormat="1" applyFont="1" applyFill="1" applyBorder="1"/>
    <xf numFmtId="0" fontId="41" fillId="2" borderId="0" xfId="0" applyFont="1" applyFill="1" applyAlignment="1">
      <alignment horizontal="center" vertical="center" wrapText="1"/>
    </xf>
    <xf numFmtId="3" fontId="41" fillId="2" borderId="3" xfId="1" applyNumberFormat="1" applyFont="1" applyFill="1" applyBorder="1"/>
    <xf numFmtId="3" fontId="39" fillId="2" borderId="3" xfId="1" applyNumberFormat="1" applyFont="1" applyFill="1" applyBorder="1"/>
    <xf numFmtId="0" fontId="39" fillId="2" borderId="0" xfId="0" applyFont="1" applyFill="1" applyAlignment="1">
      <alignment horizontal="center" vertical="center"/>
    </xf>
    <xf numFmtId="3" fontId="41" fillId="2" borderId="0" xfId="1" applyNumberFormat="1" applyFont="1" applyFill="1" applyBorder="1"/>
    <xf numFmtId="3" fontId="41" fillId="2" borderId="0" xfId="0" applyNumberFormat="1" applyFont="1" applyFill="1"/>
    <xf numFmtId="165" fontId="39" fillId="2" borderId="0" xfId="0" applyNumberFormat="1" applyFont="1" applyFill="1"/>
    <xf numFmtId="165" fontId="41" fillId="2" borderId="0" xfId="0" applyNumberFormat="1" applyFont="1" applyFill="1"/>
    <xf numFmtId="4" fontId="39" fillId="2" borderId="0" xfId="0" applyNumberFormat="1" applyFont="1" applyFill="1"/>
    <xf numFmtId="4" fontId="41" fillId="2" borderId="4" xfId="0" applyNumberFormat="1" applyFont="1" applyFill="1" applyBorder="1"/>
    <xf numFmtId="166" fontId="39" fillId="2" borderId="0" xfId="1" applyNumberFormat="1" applyFont="1" applyFill="1" applyBorder="1"/>
    <xf numFmtId="4" fontId="39" fillId="2" borderId="4" xfId="0" applyNumberFormat="1" applyFont="1" applyFill="1" applyBorder="1"/>
    <xf numFmtId="0" fontId="39" fillId="2" borderId="4" xfId="0" applyFont="1" applyFill="1" applyBorder="1" applyAlignment="1">
      <alignment horizontal="center" vertical="center"/>
    </xf>
    <xf numFmtId="4" fontId="41" fillId="2" borderId="0" xfId="0" applyNumberFormat="1" applyFont="1" applyFill="1"/>
    <xf numFmtId="166" fontId="39" fillId="2" borderId="0" xfId="1" applyNumberFormat="1" applyFont="1" applyFill="1"/>
    <xf numFmtId="4" fontId="39" fillId="2" borderId="0" xfId="1" applyNumberFormat="1" applyFont="1" applyFill="1" applyBorder="1"/>
    <xf numFmtId="167" fontId="39" fillId="2" borderId="0" xfId="0" applyNumberFormat="1" applyFont="1" applyFill="1"/>
    <xf numFmtId="3" fontId="39" fillId="2" borderId="0" xfId="0" applyNumberFormat="1" applyFont="1" applyFill="1" applyAlignment="1">
      <alignment horizontal="right"/>
    </xf>
    <xf numFmtId="0" fontId="39" fillId="2" borderId="5" xfId="0" applyFont="1" applyFill="1" applyBorder="1" applyAlignment="1">
      <alignment horizontal="center" vertical="center" wrapText="1"/>
    </xf>
    <xf numFmtId="2" fontId="39" fillId="2" borderId="0" xfId="0" applyNumberFormat="1" applyFont="1" applyFill="1"/>
    <xf numFmtId="2" fontId="41" fillId="2" borderId="3" xfId="0" applyNumberFormat="1" applyFont="1" applyFill="1" applyBorder="1"/>
    <xf numFmtId="2" fontId="39" fillId="2" borderId="3" xfId="0" applyNumberFormat="1" applyFont="1" applyFill="1" applyBorder="1"/>
    <xf numFmtId="2" fontId="41" fillId="2" borderId="0" xfId="0" applyNumberFormat="1" applyFont="1" applyFill="1"/>
    <xf numFmtId="166" fontId="9" fillId="0" borderId="3" xfId="1" applyNumberFormat="1" applyFont="1" applyFill="1" applyBorder="1" applyAlignment="1">
      <alignment horizontal="right" vertical="center"/>
    </xf>
    <xf numFmtId="0" fontId="47" fillId="0" borderId="0" xfId="0" applyFont="1" applyAlignment="1">
      <alignment vertical="center"/>
    </xf>
    <xf numFmtId="0" fontId="0" fillId="0" borderId="0" xfId="0" applyAlignment="1">
      <alignment horizontal="center"/>
    </xf>
    <xf numFmtId="4" fontId="37" fillId="0" borderId="0" xfId="0" applyNumberFormat="1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4" fontId="37" fillId="2" borderId="0" xfId="0" applyNumberFormat="1" applyFont="1" applyFill="1" applyAlignment="1">
      <alignment horizontal="center" vertical="center"/>
    </xf>
    <xf numFmtId="4" fontId="47" fillId="0" borderId="0" xfId="0" applyNumberFormat="1" applyFont="1" applyAlignment="1">
      <alignment horizontal="center" vertical="center"/>
    </xf>
    <xf numFmtId="0" fontId="46" fillId="0" borderId="0" xfId="0" applyFont="1"/>
    <xf numFmtId="2" fontId="0" fillId="0" borderId="0" xfId="0" applyNumberFormat="1" applyAlignment="1">
      <alignment horizontal="center"/>
    </xf>
    <xf numFmtId="2" fontId="47" fillId="0" borderId="0" xfId="0" applyNumberFormat="1" applyFont="1" applyAlignment="1">
      <alignment horizontal="center" vertical="center"/>
    </xf>
    <xf numFmtId="2" fontId="37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12" fillId="2" borderId="0" xfId="0" applyFont="1" applyFill="1"/>
    <xf numFmtId="0" fontId="5" fillId="2" borderId="3" xfId="0" applyFont="1" applyFill="1" applyBorder="1" applyAlignment="1">
      <alignment wrapText="1"/>
    </xf>
    <xf numFmtId="0" fontId="50" fillId="0" borderId="0" xfId="0" applyFont="1"/>
    <xf numFmtId="0" fontId="51" fillId="0" borderId="17" xfId="0" applyFont="1" applyBorder="1" applyAlignment="1">
      <alignment horizontal="left" vertical="center" wrapText="1"/>
    </xf>
    <xf numFmtId="0" fontId="51" fillId="0" borderId="17" xfId="0" applyFont="1" applyBorder="1" applyAlignment="1">
      <alignment horizontal="center" vertical="center" wrapText="1"/>
    </xf>
    <xf numFmtId="2" fontId="52" fillId="0" borderId="17" xfId="0" applyNumberFormat="1" applyFont="1" applyBorder="1" applyAlignment="1">
      <alignment horizontal="center" vertical="center" wrapText="1"/>
    </xf>
    <xf numFmtId="0" fontId="51" fillId="0" borderId="18" xfId="0" applyFont="1" applyBorder="1" applyAlignment="1">
      <alignment horizontal="left" vertical="center" wrapText="1"/>
    </xf>
    <xf numFmtId="0" fontId="51" fillId="0" borderId="18" xfId="0" applyFont="1" applyBorder="1" applyAlignment="1">
      <alignment horizontal="center" vertical="center" wrapText="1"/>
    </xf>
    <xf numFmtId="2" fontId="52" fillId="0" borderId="18" xfId="0" applyNumberFormat="1" applyFont="1" applyBorder="1" applyAlignment="1">
      <alignment horizontal="center" vertical="center" wrapText="1"/>
    </xf>
    <xf numFmtId="0" fontId="53" fillId="0" borderId="19" xfId="0" applyFont="1" applyBorder="1" applyAlignment="1">
      <alignment horizontal="left" vertical="center" wrapText="1" indent="2"/>
    </xf>
    <xf numFmtId="0" fontId="53" fillId="0" borderId="19" xfId="0" applyFont="1" applyBorder="1" applyAlignment="1">
      <alignment horizontal="center" vertical="center" wrapText="1"/>
    </xf>
    <xf numFmtId="2" fontId="54" fillId="0" borderId="21" xfId="0" applyNumberFormat="1" applyFont="1" applyBorder="1" applyAlignment="1">
      <alignment horizontal="center" vertical="center" wrapText="1"/>
    </xf>
    <xf numFmtId="2" fontId="55" fillId="0" borderId="21" xfId="0" applyNumberFormat="1" applyFont="1" applyBorder="1" applyAlignment="1">
      <alignment horizontal="center" vertical="center" wrapText="1"/>
    </xf>
    <xf numFmtId="0" fontId="53" fillId="0" borderId="20" xfId="0" applyFont="1" applyBorder="1" applyAlignment="1">
      <alignment horizontal="left" vertical="center" wrapText="1" indent="2"/>
    </xf>
    <xf numFmtId="0" fontId="53" fillId="0" borderId="20" xfId="0" applyFont="1" applyBorder="1" applyAlignment="1">
      <alignment horizontal="center" vertical="center" wrapText="1"/>
    </xf>
    <xf numFmtId="2" fontId="54" fillId="0" borderId="22" xfId="0" applyNumberFormat="1" applyFont="1" applyBorder="1" applyAlignment="1">
      <alignment horizontal="center" vertical="center" wrapText="1"/>
    </xf>
    <xf numFmtId="2" fontId="55" fillId="0" borderId="22" xfId="0" applyNumberFormat="1" applyFont="1" applyBorder="1" applyAlignment="1">
      <alignment horizontal="center" vertical="center" wrapText="1"/>
    </xf>
    <xf numFmtId="3" fontId="52" fillId="0" borderId="17" xfId="0" applyNumberFormat="1" applyFont="1" applyBorder="1" applyAlignment="1">
      <alignment horizontal="center" vertical="center" wrapText="1"/>
    </xf>
    <xf numFmtId="0" fontId="9" fillId="8" borderId="17" xfId="0" applyFont="1" applyFill="1" applyBorder="1" applyAlignment="1">
      <alignment horizontal="center" vertical="center" wrapText="1"/>
    </xf>
    <xf numFmtId="0" fontId="9" fillId="9" borderId="17" xfId="0" applyFont="1" applyFill="1" applyBorder="1" applyAlignment="1">
      <alignment horizontal="center" vertical="center" wrapText="1"/>
    </xf>
    <xf numFmtId="4" fontId="52" fillId="0" borderId="18" xfId="0" applyNumberFormat="1" applyFont="1" applyBorder="1" applyAlignment="1">
      <alignment horizontal="center" vertical="center" wrapText="1"/>
    </xf>
    <xf numFmtId="0" fontId="57" fillId="0" borderId="19" xfId="0" applyFont="1" applyBorder="1" applyAlignment="1">
      <alignment horizontal="left" vertical="center" wrapText="1" indent="2"/>
    </xf>
    <xf numFmtId="4" fontId="56" fillId="0" borderId="19" xfId="0" applyNumberFormat="1" applyFont="1" applyBorder="1" applyAlignment="1">
      <alignment horizontal="center" vertical="center" wrapText="1"/>
    </xf>
    <xf numFmtId="0" fontId="57" fillId="0" borderId="20" xfId="0" applyFont="1" applyBorder="1" applyAlignment="1">
      <alignment horizontal="left" vertical="center" wrapText="1" indent="2"/>
    </xf>
    <xf numFmtId="4" fontId="56" fillId="0" borderId="20" xfId="0" applyNumberFormat="1" applyFont="1" applyBorder="1" applyAlignment="1">
      <alignment horizontal="center" vertical="center" wrapText="1"/>
    </xf>
    <xf numFmtId="2" fontId="37" fillId="2" borderId="0" xfId="0" applyNumberFormat="1" applyFont="1" applyFill="1" applyAlignment="1">
      <alignment horizontal="center" vertical="center"/>
    </xf>
    <xf numFmtId="170" fontId="10" fillId="2" borderId="0" xfId="0" applyNumberFormat="1" applyFont="1" applyFill="1" applyAlignment="1" applyProtection="1">
      <alignment horizontal="left" vertical="center" wrapText="1"/>
      <protection locked="0"/>
    </xf>
    <xf numFmtId="170" fontId="9" fillId="2" borderId="0" xfId="0" applyNumberFormat="1" applyFont="1" applyFill="1" applyAlignment="1" applyProtection="1">
      <alignment vertical="center" wrapText="1"/>
      <protection locked="0"/>
    </xf>
    <xf numFmtId="0" fontId="9" fillId="2" borderId="5" xfId="0" applyFont="1" applyFill="1" applyBorder="1" applyAlignment="1">
      <alignment wrapText="1"/>
    </xf>
    <xf numFmtId="171" fontId="9" fillId="2" borderId="0" xfId="0" applyNumberFormat="1" applyFont="1" applyFill="1" applyAlignment="1" applyProtection="1">
      <alignment horizontal="left" vertical="center" wrapText="1"/>
      <protection locked="0"/>
    </xf>
    <xf numFmtId="171" fontId="9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26" fillId="2" borderId="1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9" fillId="10" borderId="0" xfId="0" applyFont="1" applyFill="1" applyAlignment="1">
      <alignment horizontal="left" vertical="center" wrapText="1"/>
    </xf>
    <xf numFmtId="0" fontId="9" fillId="10" borderId="9" xfId="0" applyFont="1" applyFill="1" applyBorder="1" applyAlignment="1">
      <alignment horizontal="left" vertical="center" wrapText="1"/>
    </xf>
    <xf numFmtId="171" fontId="9" fillId="10" borderId="9" xfId="0" applyNumberFormat="1" applyFont="1" applyFill="1" applyBorder="1" applyAlignment="1" applyProtection="1">
      <alignment horizontal="left" vertical="center" wrapText="1"/>
      <protection locked="0"/>
    </xf>
    <xf numFmtId="0" fontId="24" fillId="10" borderId="14" xfId="0" applyFont="1" applyFill="1" applyBorder="1" applyAlignment="1" applyProtection="1">
      <alignment vertical="center" wrapText="1"/>
      <protection locked="0"/>
    </xf>
    <xf numFmtId="168" fontId="24" fillId="10" borderId="14" xfId="0" applyNumberFormat="1" applyFont="1" applyFill="1" applyBorder="1" applyAlignment="1" applyProtection="1">
      <alignment horizontal="right" vertical="center"/>
      <protection locked="0"/>
    </xf>
    <xf numFmtId="0" fontId="37" fillId="10" borderId="14" xfId="0" applyFont="1" applyFill="1" applyBorder="1" applyAlignment="1" applyProtection="1">
      <alignment vertical="center"/>
      <protection locked="0"/>
    </xf>
    <xf numFmtId="0" fontId="10" fillId="2" borderId="0" xfId="0" applyFont="1" applyFill="1" applyAlignment="1">
      <alignment horizontal="left" wrapText="1" indent="1"/>
    </xf>
    <xf numFmtId="0" fontId="10" fillId="2" borderId="4" xfId="0" applyFont="1" applyFill="1" applyBorder="1" applyAlignment="1">
      <alignment wrapText="1"/>
    </xf>
    <xf numFmtId="0" fontId="10" fillId="2" borderId="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/>
    </xf>
    <xf numFmtId="0" fontId="10" fillId="2" borderId="0" xfId="0" applyFont="1" applyFill="1" applyAlignment="1">
      <alignment horizontal="left" wrapText="1"/>
    </xf>
    <xf numFmtId="0" fontId="10" fillId="2" borderId="4" xfId="0" applyFont="1" applyFill="1" applyBorder="1" applyAlignment="1">
      <alignment horizontal="left" wrapText="1" indent="1"/>
    </xf>
    <xf numFmtId="0" fontId="10" fillId="2" borderId="0" xfId="0" applyFont="1" applyFill="1" applyAlignment="1">
      <alignment vertical="center" wrapText="1"/>
    </xf>
    <xf numFmtId="0" fontId="32" fillId="2" borderId="5" xfId="0" applyFont="1" applyFill="1" applyBorder="1" applyAlignment="1">
      <alignment vertical="center" wrapText="1"/>
    </xf>
    <xf numFmtId="0" fontId="28" fillId="2" borderId="0" xfId="0" applyFont="1" applyFill="1" applyAlignment="1">
      <alignment wrapText="1"/>
    </xf>
    <xf numFmtId="0" fontId="58" fillId="2" borderId="0" xfId="0" applyFont="1" applyFill="1" applyAlignment="1">
      <alignment horizontal="center" vertical="center"/>
    </xf>
    <xf numFmtId="2" fontId="56" fillId="0" borderId="19" xfId="0" applyNumberFormat="1" applyFont="1" applyBorder="1" applyAlignment="1">
      <alignment horizontal="center" vertical="center" wrapText="1"/>
    </xf>
    <xf numFmtId="2" fontId="56" fillId="0" borderId="20" xfId="0" applyNumberFormat="1" applyFont="1" applyBorder="1" applyAlignment="1">
      <alignment horizontal="center" vertical="center" wrapText="1"/>
    </xf>
    <xf numFmtId="0" fontId="9" fillId="8" borderId="23" xfId="0" applyFont="1" applyFill="1" applyBorder="1" applyAlignment="1">
      <alignment horizontal="center" vertical="center" wrapText="1"/>
    </xf>
    <xf numFmtId="0" fontId="9" fillId="8" borderId="24" xfId="0" applyFont="1" applyFill="1" applyBorder="1" applyAlignment="1">
      <alignment horizontal="center" vertical="center" wrapText="1"/>
    </xf>
    <xf numFmtId="0" fontId="9" fillId="8" borderId="25" xfId="0" applyFont="1" applyFill="1" applyBorder="1" applyAlignment="1">
      <alignment horizontal="center" vertical="center" wrapText="1"/>
    </xf>
    <xf numFmtId="0" fontId="9" fillId="8" borderId="26" xfId="0" applyFont="1" applyFill="1" applyBorder="1" applyAlignment="1">
      <alignment horizontal="center" vertical="center" wrapText="1"/>
    </xf>
    <xf numFmtId="2" fontId="51" fillId="0" borderId="23" xfId="0" applyNumberFormat="1" applyFont="1" applyBorder="1" applyAlignment="1">
      <alignment horizontal="center" vertical="center" wrapText="1"/>
    </xf>
    <xf numFmtId="2" fontId="51" fillId="0" borderId="24" xfId="0" applyNumberFormat="1" applyFont="1" applyBorder="1" applyAlignment="1">
      <alignment horizontal="center" vertical="center" wrapText="1"/>
    </xf>
    <xf numFmtId="2" fontId="51" fillId="0" borderId="26" xfId="0" applyNumberFormat="1" applyFont="1" applyBorder="1" applyAlignment="1">
      <alignment horizontal="center" vertical="center" wrapText="1"/>
    </xf>
    <xf numFmtId="2" fontId="51" fillId="0" borderId="27" xfId="0" applyNumberFormat="1" applyFont="1" applyBorder="1" applyAlignment="1">
      <alignment horizontal="center" vertical="center" wrapText="1"/>
    </xf>
    <xf numFmtId="2" fontId="51" fillId="0" borderId="25" xfId="0" applyNumberFormat="1" applyFont="1" applyBorder="1" applyAlignment="1">
      <alignment horizontal="center" vertical="center" wrapText="1"/>
    </xf>
    <xf numFmtId="2" fontId="51" fillId="0" borderId="28" xfId="0" applyNumberFormat="1" applyFont="1" applyBorder="1" applyAlignment="1">
      <alignment horizontal="center" vertical="center" wrapText="1"/>
    </xf>
    <xf numFmtId="2" fontId="53" fillId="0" borderId="29" xfId="0" applyNumberFormat="1" applyFont="1" applyBorder="1" applyAlignment="1">
      <alignment horizontal="center" vertical="center" wrapText="1"/>
    </xf>
    <xf numFmtId="2" fontId="53" fillId="0" borderId="30" xfId="0" applyNumberFormat="1" applyFont="1" applyBorder="1" applyAlignment="1">
      <alignment horizontal="center" vertical="center" wrapText="1"/>
    </xf>
    <xf numFmtId="2" fontId="53" fillId="0" borderId="31" xfId="0" applyNumberFormat="1" applyFont="1" applyBorder="1" applyAlignment="1">
      <alignment horizontal="center" vertical="center" wrapText="1"/>
    </xf>
    <xf numFmtId="2" fontId="53" fillId="0" borderId="32" xfId="0" applyNumberFormat="1" applyFont="1" applyBorder="1" applyAlignment="1">
      <alignment horizontal="center" vertical="center" wrapText="1"/>
    </xf>
    <xf numFmtId="2" fontId="53" fillId="0" borderId="33" xfId="0" applyNumberFormat="1" applyFont="1" applyBorder="1" applyAlignment="1">
      <alignment horizontal="center" vertical="center" wrapText="1"/>
    </xf>
    <xf numFmtId="2" fontId="53" fillId="0" borderId="34" xfId="0" applyNumberFormat="1" applyFont="1" applyBorder="1" applyAlignment="1">
      <alignment horizontal="center" vertical="center" wrapText="1"/>
    </xf>
    <xf numFmtId="1" fontId="51" fillId="0" borderId="24" xfId="0" applyNumberFormat="1" applyFont="1" applyBorder="1" applyAlignment="1">
      <alignment horizontal="center" vertical="center" wrapText="1"/>
    </xf>
    <xf numFmtId="1" fontId="51" fillId="0" borderId="26" xfId="0" applyNumberFormat="1" applyFont="1" applyBorder="1" applyAlignment="1">
      <alignment horizontal="center" vertical="center" wrapText="1"/>
    </xf>
    <xf numFmtId="2" fontId="53" fillId="2" borderId="31" xfId="0" applyNumberFormat="1" applyFont="1" applyFill="1" applyBorder="1" applyAlignment="1">
      <alignment horizontal="center" vertical="center" wrapText="1"/>
    </xf>
    <xf numFmtId="2" fontId="53" fillId="2" borderId="34" xfId="0" applyNumberFormat="1" applyFont="1" applyFill="1" applyBorder="1" applyAlignment="1">
      <alignment horizontal="center" vertical="center" wrapText="1"/>
    </xf>
    <xf numFmtId="4" fontId="51" fillId="0" borderId="27" xfId="0" applyNumberFormat="1" applyFont="1" applyBorder="1" applyAlignment="1">
      <alignment horizontal="center" vertical="center" wrapText="1"/>
    </xf>
    <xf numFmtId="4" fontId="51" fillId="0" borderId="25" xfId="0" applyNumberFormat="1" applyFont="1" applyBorder="1" applyAlignment="1">
      <alignment horizontal="center" vertical="center" wrapText="1"/>
    </xf>
    <xf numFmtId="4" fontId="53" fillId="0" borderId="29" xfId="0" applyNumberFormat="1" applyFont="1" applyBorder="1" applyAlignment="1">
      <alignment horizontal="center" vertical="center" wrapText="1"/>
    </xf>
    <xf numFmtId="4" fontId="53" fillId="0" borderId="30" xfId="0" applyNumberFormat="1" applyFont="1" applyBorder="1" applyAlignment="1">
      <alignment horizontal="center" vertical="center" wrapText="1"/>
    </xf>
    <xf numFmtId="4" fontId="53" fillId="0" borderId="32" xfId="0" applyNumberFormat="1" applyFont="1" applyBorder="1" applyAlignment="1">
      <alignment horizontal="center" vertical="center" wrapText="1"/>
    </xf>
    <xf numFmtId="4" fontId="53" fillId="0" borderId="33" xfId="0" applyNumberFormat="1" applyFont="1" applyBorder="1" applyAlignment="1">
      <alignment horizontal="center" vertical="center" wrapText="1"/>
    </xf>
    <xf numFmtId="3" fontId="51" fillId="0" borderId="23" xfId="0" applyNumberFormat="1" applyFont="1" applyBorder="1" applyAlignment="1">
      <alignment horizontal="center" vertical="center" wrapText="1"/>
    </xf>
    <xf numFmtId="3" fontId="51" fillId="0" borderId="24" xfId="0" applyNumberFormat="1" applyFont="1" applyBorder="1" applyAlignment="1">
      <alignment horizontal="center" vertical="center" wrapText="1"/>
    </xf>
    <xf numFmtId="3" fontId="51" fillId="0" borderId="26" xfId="0" applyNumberFormat="1" applyFont="1" applyBorder="1" applyAlignment="1">
      <alignment horizontal="center" vertical="center" wrapText="1"/>
    </xf>
    <xf numFmtId="4" fontId="51" fillId="0" borderId="28" xfId="0" applyNumberFormat="1" applyFont="1" applyBorder="1" applyAlignment="1">
      <alignment horizontal="center" vertical="center" wrapText="1"/>
    </xf>
    <xf numFmtId="4" fontId="53" fillId="0" borderId="31" xfId="0" applyNumberFormat="1" applyFont="1" applyBorder="1" applyAlignment="1">
      <alignment horizontal="center" vertical="center" wrapText="1"/>
    </xf>
    <xf numFmtId="4" fontId="53" fillId="0" borderId="34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9" fillId="8" borderId="35" xfId="0" applyFont="1" applyFill="1" applyBorder="1" applyAlignment="1">
      <alignment horizontal="center" vertical="center" wrapText="1"/>
    </xf>
    <xf numFmtId="2" fontId="51" fillId="0" borderId="35" xfId="0" applyNumberFormat="1" applyFont="1" applyBorder="1" applyAlignment="1">
      <alignment horizontal="center" vertical="center" wrapText="1"/>
    </xf>
    <xf numFmtId="2" fontId="51" fillId="0" borderId="36" xfId="0" applyNumberFormat="1" applyFont="1" applyBorder="1" applyAlignment="1">
      <alignment horizontal="center" vertical="center" wrapText="1"/>
    </xf>
    <xf numFmtId="2" fontId="53" fillId="0" borderId="37" xfId="0" applyNumberFormat="1" applyFont="1" applyBorder="1" applyAlignment="1">
      <alignment horizontal="center" vertical="center" wrapText="1"/>
    </xf>
    <xf numFmtId="2" fontId="53" fillId="0" borderId="38" xfId="0" applyNumberFormat="1" applyFont="1" applyBorder="1" applyAlignment="1">
      <alignment horizontal="center" vertical="center" wrapText="1"/>
    </xf>
    <xf numFmtId="3" fontId="51" fillId="0" borderId="35" xfId="0" applyNumberFormat="1" applyFont="1" applyBorder="1" applyAlignment="1">
      <alignment horizontal="center" vertical="center" wrapText="1"/>
    </xf>
    <xf numFmtId="4" fontId="51" fillId="0" borderId="36" xfId="0" applyNumberFormat="1" applyFont="1" applyBorder="1" applyAlignment="1">
      <alignment horizontal="center" vertical="center" wrapText="1"/>
    </xf>
    <xf numFmtId="4" fontId="53" fillId="0" borderId="37" xfId="0" applyNumberFormat="1" applyFont="1" applyBorder="1" applyAlignment="1">
      <alignment horizontal="center" vertical="center" wrapText="1"/>
    </xf>
    <xf numFmtId="4" fontId="53" fillId="0" borderId="38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165" fontId="41" fillId="2" borderId="0" xfId="1" applyNumberFormat="1" applyFont="1" applyFill="1" applyBorder="1" applyAlignment="1">
      <alignment horizontal="right"/>
    </xf>
    <xf numFmtId="165" fontId="41" fillId="2" borderId="8" xfId="1" applyNumberFormat="1" applyFont="1" applyFill="1" applyBorder="1"/>
    <xf numFmtId="165" fontId="41" fillId="2" borderId="8" xfId="1" applyNumberFormat="1" applyFont="1" applyFill="1" applyBorder="1" applyAlignment="1">
      <alignment horizontal="right"/>
    </xf>
    <xf numFmtId="0" fontId="59" fillId="2" borderId="1" xfId="0" applyFont="1" applyFill="1" applyBorder="1" applyAlignment="1">
      <alignment vertical="center"/>
    </xf>
    <xf numFmtId="3" fontId="9" fillId="2" borderId="0" xfId="0" applyNumberFormat="1" applyFont="1" applyFill="1"/>
    <xf numFmtId="0" fontId="34" fillId="2" borderId="0" xfId="0" applyFont="1" applyFill="1"/>
    <xf numFmtId="173" fontId="9" fillId="2" borderId="3" xfId="1" applyNumberFormat="1" applyFont="1" applyFill="1" applyBorder="1" applyAlignment="1">
      <alignment vertical="center"/>
    </xf>
    <xf numFmtId="173" fontId="10" fillId="2" borderId="0" xfId="0" applyNumberFormat="1" applyFont="1" applyFill="1" applyAlignment="1">
      <alignment vertical="center"/>
    </xf>
    <xf numFmtId="173" fontId="10" fillId="2" borderId="4" xfId="0" applyNumberFormat="1" applyFont="1" applyFill="1" applyBorder="1" applyAlignment="1">
      <alignment vertical="center"/>
    </xf>
    <xf numFmtId="173" fontId="9" fillId="2" borderId="0" xfId="1" applyNumberFormat="1" applyFont="1" applyFill="1" applyBorder="1" applyAlignment="1">
      <alignment vertical="center"/>
    </xf>
    <xf numFmtId="173" fontId="12" fillId="2" borderId="3" xfId="1" applyNumberFormat="1" applyFont="1" applyFill="1" applyBorder="1" applyAlignment="1">
      <alignment vertical="center"/>
    </xf>
    <xf numFmtId="173" fontId="14" fillId="2" borderId="4" xfId="0" applyNumberFormat="1" applyFont="1" applyFill="1" applyBorder="1" applyAlignment="1">
      <alignment vertical="center"/>
    </xf>
    <xf numFmtId="166" fontId="9" fillId="0" borderId="5" xfId="1" applyNumberFormat="1" applyFont="1" applyFill="1" applyBorder="1" applyAlignment="1">
      <alignment horizontal="right" vertical="center"/>
    </xf>
    <xf numFmtId="0" fontId="51" fillId="0" borderId="36" xfId="0" applyFont="1" applyBorder="1" applyAlignment="1">
      <alignment horizontal="center" vertical="center" wrapText="1"/>
    </xf>
    <xf numFmtId="0" fontId="53" fillId="0" borderId="37" xfId="0" applyFont="1" applyBorder="1" applyAlignment="1">
      <alignment horizontal="center" vertical="center" wrapText="1"/>
    </xf>
    <xf numFmtId="0" fontId="53" fillId="0" borderId="38" xfId="0" applyFont="1" applyBorder="1" applyAlignment="1">
      <alignment horizontal="center" vertical="center" wrapText="1"/>
    </xf>
    <xf numFmtId="2" fontId="0" fillId="0" borderId="0" xfId="0" applyNumberFormat="1"/>
    <xf numFmtId="165" fontId="9" fillId="2" borderId="0" xfId="1" applyNumberFormat="1" applyFont="1" applyFill="1" applyBorder="1"/>
    <xf numFmtId="165" fontId="9" fillId="2" borderId="0" xfId="1" applyNumberFormat="1" applyFont="1" applyFill="1" applyBorder="1" applyAlignment="1">
      <alignment horizontal="right"/>
    </xf>
    <xf numFmtId="0" fontId="61" fillId="2" borderId="0" xfId="0" applyFont="1" applyFill="1" applyAlignment="1">
      <alignment horizontal="left" vertical="center" indent="1"/>
    </xf>
    <xf numFmtId="0" fontId="62" fillId="2" borderId="0" xfId="0" applyFont="1" applyFill="1"/>
    <xf numFmtId="0" fontId="38" fillId="2" borderId="7" xfId="0" applyFont="1" applyFill="1" applyBorder="1" applyAlignment="1">
      <alignment horizontal="center" vertical="center" wrapText="1"/>
    </xf>
    <xf numFmtId="165" fontId="23" fillId="2" borderId="0" xfId="1" applyNumberFormat="1" applyFont="1" applyFill="1" applyBorder="1"/>
    <xf numFmtId="165" fontId="23" fillId="2" borderId="0" xfId="1" applyNumberFormat="1" applyFont="1" applyFill="1" applyBorder="1" applyAlignment="1">
      <alignment horizontal="right"/>
    </xf>
    <xf numFmtId="165" fontId="23" fillId="2" borderId="8" xfId="1" applyNumberFormat="1" applyFont="1" applyFill="1" applyBorder="1"/>
    <xf numFmtId="165" fontId="23" fillId="2" borderId="8" xfId="1" applyNumberFormat="1" applyFont="1" applyFill="1" applyBorder="1" applyAlignment="1">
      <alignment horizontal="right"/>
    </xf>
    <xf numFmtId="0" fontId="62" fillId="2" borderId="0" xfId="0" applyFont="1" applyFill="1" applyAlignment="1">
      <alignment horizontal="right"/>
    </xf>
    <xf numFmtId="165" fontId="38" fillId="2" borderId="0" xfId="1" applyNumberFormat="1" applyFont="1" applyFill="1" applyBorder="1" applyAlignment="1">
      <alignment horizontal="right"/>
    </xf>
    <xf numFmtId="0" fontId="9" fillId="2" borderId="2" xfId="0" applyFont="1" applyFill="1" applyBorder="1" applyAlignment="1">
      <alignment horizontal="center" vertical="center" wrapText="1"/>
    </xf>
    <xf numFmtId="3" fontId="9" fillId="2" borderId="3" xfId="1" applyNumberFormat="1" applyFont="1" applyFill="1" applyBorder="1"/>
    <xf numFmtId="2" fontId="9" fillId="2" borderId="3" xfId="0" applyNumberFormat="1" applyFont="1" applyFill="1" applyBorder="1"/>
    <xf numFmtId="2" fontId="9" fillId="2" borderId="0" xfId="0" applyNumberFormat="1" applyFont="1" applyFill="1"/>
    <xf numFmtId="4" fontId="9" fillId="2" borderId="4" xfId="0" applyNumberFormat="1" applyFont="1" applyFill="1" applyBorder="1"/>
    <xf numFmtId="0" fontId="63" fillId="2" borderId="0" xfId="0" applyFont="1" applyFill="1" applyAlignment="1">
      <alignment vertical="center"/>
    </xf>
    <xf numFmtId="0" fontId="23" fillId="2" borderId="2" xfId="0" applyFont="1" applyFill="1" applyBorder="1" applyAlignment="1">
      <alignment horizontal="center" vertical="center" wrapText="1"/>
    </xf>
    <xf numFmtId="3" fontId="23" fillId="2" borderId="3" xfId="1" applyNumberFormat="1" applyFont="1" applyFill="1" applyBorder="1"/>
    <xf numFmtId="3" fontId="23" fillId="2" borderId="0" xfId="0" applyNumberFormat="1" applyFont="1" applyFill="1"/>
    <xf numFmtId="4" fontId="23" fillId="2" borderId="4" xfId="0" applyNumberFormat="1" applyFont="1" applyFill="1" applyBorder="1"/>
    <xf numFmtId="0" fontId="38" fillId="2" borderId="0" xfId="0" applyFont="1" applyFill="1" applyAlignment="1">
      <alignment horizontal="center" vertical="center"/>
    </xf>
    <xf numFmtId="2" fontId="23" fillId="2" borderId="3" xfId="0" applyNumberFormat="1" applyFont="1" applyFill="1" applyBorder="1"/>
    <xf numFmtId="2" fontId="23" fillId="2" borderId="0" xfId="0" applyNumberFormat="1" applyFont="1" applyFill="1"/>
    <xf numFmtId="0" fontId="64" fillId="2" borderId="1" xfId="0" applyFont="1" applyFill="1" applyBorder="1" applyAlignment="1">
      <alignment vertical="center"/>
    </xf>
    <xf numFmtId="0" fontId="63" fillId="2" borderId="1" xfId="0" applyFont="1" applyFill="1" applyBorder="1" applyAlignment="1">
      <alignment vertical="center"/>
    </xf>
    <xf numFmtId="0" fontId="62" fillId="2" borderId="0" xfId="0" applyFont="1" applyFill="1" applyAlignment="1">
      <alignment vertical="center"/>
    </xf>
    <xf numFmtId="0" fontId="38" fillId="2" borderId="2" xfId="0" applyFont="1" applyFill="1" applyBorder="1" applyAlignment="1">
      <alignment horizontal="center" vertical="center" wrapText="1"/>
    </xf>
    <xf numFmtId="0" fontId="38" fillId="2" borderId="0" xfId="0" applyFont="1" applyFill="1" applyAlignment="1">
      <alignment horizontal="left" vertical="center"/>
    </xf>
    <xf numFmtId="165" fontId="23" fillId="2" borderId="3" xfId="1" applyNumberFormat="1" applyFont="1" applyFill="1" applyBorder="1"/>
    <xf numFmtId="0" fontId="38" fillId="2" borderId="0" xfId="0" applyFont="1" applyFill="1"/>
    <xf numFmtId="165" fontId="23" fillId="2" borderId="4" xfId="1" applyNumberFormat="1" applyFont="1" applyFill="1" applyBorder="1"/>
    <xf numFmtId="0" fontId="65" fillId="2" borderId="0" xfId="0" applyFont="1" applyFill="1"/>
    <xf numFmtId="0" fontId="66" fillId="2" borderId="1" xfId="0" applyFont="1" applyFill="1" applyBorder="1" applyAlignment="1">
      <alignment vertical="center"/>
    </xf>
    <xf numFmtId="165" fontId="9" fillId="2" borderId="3" xfId="1" applyNumberFormat="1" applyFont="1" applyFill="1" applyBorder="1"/>
    <xf numFmtId="165" fontId="9" fillId="2" borderId="4" xfId="1" applyNumberFormat="1" applyFont="1" applyFill="1" applyBorder="1"/>
    <xf numFmtId="0" fontId="38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3" fontId="38" fillId="2" borderId="3" xfId="1" applyNumberFormat="1" applyFont="1" applyFill="1" applyBorder="1"/>
    <xf numFmtId="3" fontId="38" fillId="2" borderId="0" xfId="1" applyNumberFormat="1" applyFont="1" applyFill="1" applyBorder="1"/>
    <xf numFmtId="3" fontId="38" fillId="2" borderId="0" xfId="0" applyNumberFormat="1" applyFont="1" applyFill="1"/>
    <xf numFmtId="166" fontId="38" fillId="2" borderId="0" xfId="1" applyNumberFormat="1" applyFont="1" applyFill="1" applyBorder="1"/>
    <xf numFmtId="4" fontId="38" fillId="2" borderId="0" xfId="1" applyNumberFormat="1" applyFont="1" applyFill="1" applyBorder="1"/>
    <xf numFmtId="167" fontId="38" fillId="2" borderId="0" xfId="0" applyNumberFormat="1" applyFont="1" applyFill="1"/>
    <xf numFmtId="4" fontId="9" fillId="0" borderId="4" xfId="0" applyNumberFormat="1" applyFont="1" applyBorder="1"/>
    <xf numFmtId="4" fontId="62" fillId="0" borderId="4" xfId="2" applyNumberFormat="1" applyFont="1" applyFill="1" applyBorder="1"/>
    <xf numFmtId="166" fontId="4" fillId="2" borderId="0" xfId="0" applyNumberFormat="1" applyFont="1" applyFill="1" applyAlignment="1">
      <alignment horizontal="right" vertical="center"/>
    </xf>
    <xf numFmtId="0" fontId="23" fillId="2" borderId="0" xfId="0" applyFont="1" applyFill="1" applyAlignment="1">
      <alignment horizontal="center" vertical="center"/>
    </xf>
    <xf numFmtId="0" fontId="9" fillId="8" borderId="39" xfId="0" applyFont="1" applyFill="1" applyBorder="1" applyAlignment="1">
      <alignment horizontal="center" vertical="center" wrapText="1"/>
    </xf>
    <xf numFmtId="2" fontId="51" fillId="0" borderId="39" xfId="0" applyNumberFormat="1" applyFont="1" applyBorder="1" applyAlignment="1">
      <alignment horizontal="center" vertical="center" wrapText="1"/>
    </xf>
    <xf numFmtId="2" fontId="51" fillId="0" borderId="40" xfId="0" applyNumberFormat="1" applyFont="1" applyBorder="1" applyAlignment="1">
      <alignment horizontal="center" vertical="center" wrapText="1"/>
    </xf>
    <xf numFmtId="2" fontId="53" fillId="0" borderId="41" xfId="0" applyNumberFormat="1" applyFont="1" applyBorder="1" applyAlignment="1">
      <alignment horizontal="center" vertical="center" wrapText="1"/>
    </xf>
    <xf numFmtId="2" fontId="53" fillId="0" borderId="42" xfId="0" applyNumberFormat="1" applyFont="1" applyBorder="1" applyAlignment="1">
      <alignment horizontal="center" vertical="center" wrapText="1"/>
    </xf>
    <xf numFmtId="4" fontId="51" fillId="0" borderId="40" xfId="0" applyNumberFormat="1" applyFont="1" applyBorder="1" applyAlignment="1">
      <alignment horizontal="center" vertical="center" wrapText="1"/>
    </xf>
    <xf numFmtId="4" fontId="53" fillId="0" borderId="41" xfId="0" applyNumberFormat="1" applyFont="1" applyBorder="1" applyAlignment="1">
      <alignment horizontal="center" vertical="center" wrapText="1"/>
    </xf>
    <xf numFmtId="4" fontId="53" fillId="0" borderId="42" xfId="0" applyNumberFormat="1" applyFont="1" applyBorder="1" applyAlignment="1">
      <alignment horizontal="center" vertical="center" wrapText="1"/>
    </xf>
    <xf numFmtId="4" fontId="23" fillId="0" borderId="4" xfId="0" applyNumberFormat="1" applyFont="1" applyBorder="1"/>
    <xf numFmtId="0" fontId="6" fillId="0" borderId="0" xfId="0" applyFont="1" applyAlignment="1">
      <alignment vertical="center" wrapText="1"/>
    </xf>
    <xf numFmtId="164" fontId="10" fillId="2" borderId="0" xfId="1" applyFont="1" applyFill="1"/>
    <xf numFmtId="0" fontId="31" fillId="4" borderId="0" xfId="0" applyFont="1" applyFill="1"/>
    <xf numFmtId="0" fontId="69" fillId="2" borderId="0" xfId="0" applyFont="1" applyFill="1"/>
    <xf numFmtId="0" fontId="10" fillId="4" borderId="1" xfId="0" applyFont="1" applyFill="1" applyBorder="1" applyAlignment="1">
      <alignment horizontal="left" indent="1"/>
    </xf>
    <xf numFmtId="0" fontId="31" fillId="2" borderId="5" xfId="0" applyFont="1" applyFill="1" applyBorder="1"/>
    <xf numFmtId="0" fontId="31" fillId="2" borderId="4" xfId="0" applyFont="1" applyFill="1" applyBorder="1"/>
    <xf numFmtId="0" fontId="70" fillId="2" borderId="1" xfId="0" applyFont="1" applyFill="1" applyBorder="1" applyAlignment="1">
      <alignment horizontal="left" vertical="center" indent="1"/>
    </xf>
    <xf numFmtId="0" fontId="70" fillId="4" borderId="0" xfId="0" applyFont="1" applyFill="1" applyAlignment="1">
      <alignment horizontal="left" vertical="center" indent="1"/>
    </xf>
    <xf numFmtId="3" fontId="10" fillId="2" borderId="16" xfId="0" applyNumberFormat="1" applyFont="1" applyFill="1" applyBorder="1"/>
    <xf numFmtId="174" fontId="10" fillId="2" borderId="8" xfId="0" applyNumberFormat="1" applyFont="1" applyFill="1" applyBorder="1"/>
    <xf numFmtId="0" fontId="51" fillId="0" borderId="39" xfId="0" applyFont="1" applyBorder="1" applyAlignment="1">
      <alignment horizontal="center" vertical="center" wrapText="1"/>
    </xf>
    <xf numFmtId="165" fontId="28" fillId="2" borderId="0" xfId="0" applyNumberFormat="1" applyFont="1" applyFill="1" applyAlignment="1">
      <alignment vertical="center"/>
    </xf>
    <xf numFmtId="165" fontId="10" fillId="2" borderId="0" xfId="0" applyNumberFormat="1" applyFont="1" applyFill="1" applyAlignment="1">
      <alignment vertical="center"/>
    </xf>
    <xf numFmtId="165" fontId="9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 wrapText="1"/>
    </xf>
    <xf numFmtId="0" fontId="6" fillId="2" borderId="8" xfId="0" applyFont="1" applyFill="1" applyBorder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 applyProtection="1">
      <alignment horizontal="center" vertical="center"/>
      <protection locked="0"/>
    </xf>
    <xf numFmtId="0" fontId="10" fillId="2" borderId="2" xfId="0" applyFont="1" applyFill="1" applyBorder="1" applyAlignment="1">
      <alignment horizontal="left" vertical="center"/>
    </xf>
    <xf numFmtId="0" fontId="10" fillId="12" borderId="0" xfId="0" applyFont="1" applyFill="1" applyAlignment="1" applyProtection="1">
      <alignment horizontal="center" vertical="center"/>
      <protection locked="0"/>
    </xf>
    <xf numFmtId="168" fontId="6" fillId="12" borderId="0" xfId="0" applyNumberFormat="1" applyFont="1" applyFill="1" applyAlignment="1" applyProtection="1">
      <alignment horizontal="right" vertical="center"/>
      <protection locked="0"/>
    </xf>
    <xf numFmtId="168" fontId="24" fillId="12" borderId="0" xfId="0" applyNumberFormat="1" applyFont="1" applyFill="1" applyAlignment="1" applyProtection="1">
      <alignment horizontal="right" vertical="center"/>
      <protection locked="0"/>
    </xf>
    <xf numFmtId="171" fontId="24" fillId="12" borderId="0" xfId="0" applyNumberFormat="1" applyFont="1" applyFill="1" applyAlignment="1">
      <alignment horizontal="right" vertical="center"/>
    </xf>
    <xf numFmtId="171" fontId="24" fillId="12" borderId="0" xfId="0" applyNumberFormat="1" applyFont="1" applyFill="1" applyAlignment="1">
      <alignment horizontal="right" vertical="center" wrapText="1"/>
    </xf>
    <xf numFmtId="0" fontId="26" fillId="2" borderId="1" xfId="0" applyFont="1" applyFill="1" applyBorder="1" applyAlignment="1">
      <alignment horizontal="left" vertical="center"/>
    </xf>
    <xf numFmtId="0" fontId="28" fillId="2" borderId="0" xfId="0" applyFont="1" applyFill="1" applyAlignment="1">
      <alignment vertical="center"/>
    </xf>
    <xf numFmtId="0" fontId="9" fillId="2" borderId="5" xfId="0" applyFont="1" applyFill="1" applyBorder="1" applyAlignment="1">
      <alignment vertical="center" wrapText="1"/>
    </xf>
    <xf numFmtId="170" fontId="10" fillId="2" borderId="0" xfId="0" applyNumberFormat="1" applyFont="1" applyFill="1" applyAlignment="1">
      <alignment vertical="center"/>
    </xf>
    <xf numFmtId="170" fontId="10" fillId="2" borderId="5" xfId="0" applyNumberFormat="1" applyFont="1" applyFill="1" applyBorder="1" applyAlignment="1">
      <alignment vertical="center"/>
    </xf>
    <xf numFmtId="169" fontId="9" fillId="12" borderId="3" xfId="0" applyNumberFormat="1" applyFont="1" applyFill="1" applyBorder="1" applyAlignment="1">
      <alignment vertical="center"/>
    </xf>
    <xf numFmtId="169" fontId="9" fillId="2" borderId="0" xfId="0" applyNumberFormat="1" applyFont="1" applyFill="1" applyAlignment="1">
      <alignment vertical="center"/>
    </xf>
    <xf numFmtId="169" fontId="10" fillId="12" borderId="0" xfId="0" applyNumberFormat="1" applyFont="1" applyFill="1" applyAlignment="1">
      <alignment vertical="center"/>
    </xf>
    <xf numFmtId="169" fontId="10" fillId="2" borderId="0" xfId="0" applyNumberFormat="1" applyFont="1" applyFill="1" applyAlignment="1">
      <alignment vertical="center"/>
    </xf>
    <xf numFmtId="165" fontId="10" fillId="12" borderId="0" xfId="0" applyNumberFormat="1" applyFont="1" applyFill="1" applyAlignment="1">
      <alignment vertical="center"/>
    </xf>
    <xf numFmtId="169" fontId="9" fillId="10" borderId="9" xfId="0" applyNumberFormat="1" applyFont="1" applyFill="1" applyBorder="1" applyAlignment="1">
      <alignment vertical="center"/>
    </xf>
    <xf numFmtId="169" fontId="9" fillId="12" borderId="0" xfId="0" applyNumberFormat="1" applyFont="1" applyFill="1" applyAlignment="1">
      <alignment vertical="center"/>
    </xf>
    <xf numFmtId="169" fontId="9" fillId="12" borderId="1" xfId="0" applyNumberFormat="1" applyFont="1" applyFill="1" applyBorder="1" applyAlignment="1">
      <alignment vertical="center"/>
    </xf>
    <xf numFmtId="169" fontId="9" fillId="2" borderId="1" xfId="0" applyNumberFormat="1" applyFont="1" applyFill="1" applyBorder="1" applyAlignment="1">
      <alignment vertical="center"/>
    </xf>
    <xf numFmtId="165" fontId="9" fillId="12" borderId="0" xfId="0" applyNumberFormat="1" applyFont="1" applyFill="1" applyAlignment="1">
      <alignment vertical="center"/>
    </xf>
    <xf numFmtId="165" fontId="9" fillId="2" borderId="0" xfId="0" applyNumberFormat="1" applyFont="1" applyFill="1" applyAlignment="1">
      <alignment vertical="center"/>
    </xf>
    <xf numFmtId="169" fontId="10" fillId="12" borderId="1" xfId="0" applyNumberFormat="1" applyFont="1" applyFill="1" applyBorder="1" applyAlignment="1">
      <alignment vertical="center"/>
    </xf>
    <xf numFmtId="169" fontId="10" fillId="2" borderId="1" xfId="0" applyNumberFormat="1" applyFont="1" applyFill="1" applyBorder="1" applyAlignment="1">
      <alignment vertical="center"/>
    </xf>
    <xf numFmtId="0" fontId="27" fillId="2" borderId="1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vertical="center" wrapText="1"/>
    </xf>
    <xf numFmtId="0" fontId="10" fillId="2" borderId="1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vertical="center"/>
    </xf>
    <xf numFmtId="0" fontId="10" fillId="12" borderId="0" xfId="0" applyFont="1" applyFill="1" applyAlignment="1">
      <alignment horizontal="center" vertical="center"/>
    </xf>
    <xf numFmtId="0" fontId="10" fillId="2" borderId="10" xfId="0" applyFont="1" applyFill="1" applyBorder="1" applyAlignment="1">
      <alignment vertical="center" wrapText="1"/>
    </xf>
    <xf numFmtId="0" fontId="9" fillId="2" borderId="10" xfId="0" applyFont="1" applyFill="1" applyBorder="1" applyAlignment="1">
      <alignment horizontal="center" vertical="center"/>
    </xf>
    <xf numFmtId="165" fontId="9" fillId="12" borderId="10" xfId="0" applyNumberFormat="1" applyFont="1" applyFill="1" applyBorder="1" applyAlignment="1">
      <alignment vertical="center"/>
    </xf>
    <xf numFmtId="165" fontId="9" fillId="2" borderId="10" xfId="0" applyNumberFormat="1" applyFont="1" applyFill="1" applyBorder="1" applyAlignment="1">
      <alignment vertical="center"/>
    </xf>
    <xf numFmtId="0" fontId="9" fillId="10" borderId="9" xfId="0" applyFont="1" applyFill="1" applyBorder="1" applyAlignment="1">
      <alignment vertical="center" wrapText="1"/>
    </xf>
    <xf numFmtId="0" fontId="9" fillId="10" borderId="9" xfId="0" applyFont="1" applyFill="1" applyBorder="1" applyAlignment="1">
      <alignment horizontal="center" vertical="center"/>
    </xf>
    <xf numFmtId="165" fontId="9" fillId="10" borderId="9" xfId="0" applyNumberFormat="1" applyFont="1" applyFill="1" applyBorder="1" applyAlignment="1">
      <alignment vertical="center"/>
    </xf>
    <xf numFmtId="0" fontId="10" fillId="2" borderId="8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horizontal="center" vertical="center"/>
    </xf>
    <xf numFmtId="169" fontId="10" fillId="12" borderId="8" xfId="0" applyNumberFormat="1" applyFont="1" applyFill="1" applyBorder="1" applyAlignment="1">
      <alignment vertical="center"/>
    </xf>
    <xf numFmtId="169" fontId="10" fillId="2" borderId="8" xfId="0" applyNumberFormat="1" applyFont="1" applyFill="1" applyBorder="1" applyAlignment="1">
      <alignment vertical="center"/>
    </xf>
    <xf numFmtId="0" fontId="10" fillId="12" borderId="10" xfId="0" applyFont="1" applyFill="1" applyBorder="1" applyAlignment="1">
      <alignment horizontal="center" vertical="center"/>
    </xf>
    <xf numFmtId="165" fontId="10" fillId="2" borderId="10" xfId="0" applyNumberFormat="1" applyFont="1" applyFill="1" applyBorder="1" applyAlignment="1">
      <alignment vertical="center"/>
    </xf>
    <xf numFmtId="0" fontId="9" fillId="10" borderId="10" xfId="0" applyFont="1" applyFill="1" applyBorder="1" applyAlignment="1">
      <alignment vertical="center" wrapText="1"/>
    </xf>
    <xf numFmtId="0" fontId="10" fillId="10" borderId="10" xfId="0" applyFont="1" applyFill="1" applyBorder="1" applyAlignment="1">
      <alignment horizontal="center" vertical="center"/>
    </xf>
    <xf numFmtId="165" fontId="9" fillId="10" borderId="10" xfId="0" applyNumberFormat="1" applyFont="1" applyFill="1" applyBorder="1" applyAlignment="1">
      <alignment vertical="center"/>
    </xf>
    <xf numFmtId="0" fontId="28" fillId="2" borderId="0" xfId="0" applyFont="1" applyFill="1" applyAlignment="1">
      <alignment vertical="center" wrapText="1"/>
    </xf>
    <xf numFmtId="164" fontId="10" fillId="12" borderId="0" xfId="1" applyFont="1" applyFill="1" applyAlignment="1" applyProtection="1">
      <alignment vertical="center"/>
    </xf>
    <xf numFmtId="170" fontId="9" fillId="2" borderId="0" xfId="0" applyNumberFormat="1" applyFont="1" applyFill="1" applyAlignment="1">
      <alignment horizontal="center" vertical="center"/>
    </xf>
    <xf numFmtId="170" fontId="9" fillId="10" borderId="9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0" fontId="9" fillId="10" borderId="0" xfId="0" applyNumberFormat="1" applyFont="1" applyFill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vertical="center" wrapText="1"/>
    </xf>
    <xf numFmtId="165" fontId="9" fillId="2" borderId="0" xfId="1" applyNumberFormat="1" applyFont="1" applyFill="1" applyBorder="1" applyAlignment="1">
      <alignment vertical="center"/>
    </xf>
    <xf numFmtId="165" fontId="9" fillId="2" borderId="0" xfId="1" applyNumberFormat="1" applyFont="1" applyFill="1" applyBorder="1" applyAlignment="1">
      <alignment horizontal="right" vertical="center"/>
    </xf>
    <xf numFmtId="165" fontId="9" fillId="2" borderId="8" xfId="1" applyNumberFormat="1" applyFont="1" applyFill="1" applyBorder="1" applyAlignment="1">
      <alignment vertical="center"/>
    </xf>
    <xf numFmtId="165" fontId="9" fillId="2" borderId="8" xfId="1" applyNumberFormat="1" applyFont="1" applyFill="1" applyBorder="1" applyAlignment="1">
      <alignment horizontal="right" vertical="center"/>
    </xf>
    <xf numFmtId="0" fontId="11" fillId="2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3" fontId="38" fillId="2" borderId="3" xfId="0" applyNumberFormat="1" applyFont="1" applyFill="1" applyBorder="1"/>
    <xf numFmtId="165" fontId="23" fillId="2" borderId="0" xfId="0" applyNumberFormat="1" applyFont="1" applyFill="1"/>
    <xf numFmtId="165" fontId="38" fillId="2" borderId="0" xfId="0" applyNumberFormat="1" applyFont="1" applyFill="1"/>
    <xf numFmtId="4" fontId="38" fillId="0" borderId="4" xfId="0" applyNumberFormat="1" applyFont="1" applyBorder="1"/>
    <xf numFmtId="0" fontId="25" fillId="0" borderId="0" xfId="0" applyFont="1"/>
    <xf numFmtId="0" fontId="52" fillId="0" borderId="35" xfId="0" applyFont="1" applyBorder="1" applyAlignment="1">
      <alignment horizontal="center" vertical="center" wrapText="1"/>
    </xf>
    <xf numFmtId="0" fontId="52" fillId="0" borderId="36" xfId="0" applyFont="1" applyBorder="1" applyAlignment="1">
      <alignment horizontal="center" vertical="center" wrapText="1"/>
    </xf>
    <xf numFmtId="0" fontId="56" fillId="0" borderId="37" xfId="0" applyFont="1" applyBorder="1" applyAlignment="1">
      <alignment horizontal="center" vertical="center" wrapText="1"/>
    </xf>
    <xf numFmtId="0" fontId="56" fillId="0" borderId="38" xfId="0" applyFont="1" applyBorder="1" applyAlignment="1">
      <alignment horizontal="center" vertical="center" wrapText="1"/>
    </xf>
    <xf numFmtId="3" fontId="52" fillId="0" borderId="35" xfId="0" applyNumberFormat="1" applyFont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52" fillId="0" borderId="39" xfId="0" applyFont="1" applyBorder="1" applyAlignment="1">
      <alignment horizontal="center" vertical="center" wrapText="1"/>
    </xf>
    <xf numFmtId="2" fontId="52" fillId="0" borderId="39" xfId="0" applyNumberFormat="1" applyFont="1" applyBorder="1" applyAlignment="1">
      <alignment horizontal="center" vertical="center" wrapText="1"/>
    </xf>
    <xf numFmtId="2" fontId="52" fillId="0" borderId="40" xfId="0" applyNumberFormat="1" applyFont="1" applyBorder="1" applyAlignment="1">
      <alignment horizontal="center" vertical="center" wrapText="1"/>
    </xf>
    <xf numFmtId="2" fontId="56" fillId="0" borderId="41" xfId="0" applyNumberFormat="1" applyFont="1" applyBorder="1" applyAlignment="1">
      <alignment horizontal="center" vertical="center" wrapText="1"/>
    </xf>
    <xf numFmtId="2" fontId="56" fillId="0" borderId="42" xfId="0" applyNumberFormat="1" applyFont="1" applyBorder="1" applyAlignment="1">
      <alignment horizontal="center" vertical="center" wrapText="1"/>
    </xf>
    <xf numFmtId="2" fontId="71" fillId="0" borderId="26" xfId="0" applyNumberFormat="1" applyFont="1" applyBorder="1" applyAlignment="1">
      <alignment horizontal="center" vertical="center" wrapText="1"/>
    </xf>
    <xf numFmtId="2" fontId="71" fillId="0" borderId="28" xfId="0" applyNumberFormat="1" applyFont="1" applyBorder="1" applyAlignment="1">
      <alignment horizontal="center" vertical="center" wrapText="1"/>
    </xf>
    <xf numFmtId="2" fontId="57" fillId="0" borderId="31" xfId="0" applyNumberFormat="1" applyFont="1" applyBorder="1" applyAlignment="1">
      <alignment horizontal="center" vertical="center" wrapText="1"/>
    </xf>
    <xf numFmtId="2" fontId="57" fillId="0" borderId="34" xfId="0" applyNumberFormat="1" applyFont="1" applyBorder="1" applyAlignment="1">
      <alignment horizontal="center" vertical="center" wrapText="1"/>
    </xf>
    <xf numFmtId="3" fontId="71" fillId="0" borderId="35" xfId="0" applyNumberFormat="1" applyFont="1" applyBorder="1" applyAlignment="1">
      <alignment horizontal="center" vertical="center" wrapText="1"/>
    </xf>
    <xf numFmtId="4" fontId="30" fillId="0" borderId="0" xfId="0" applyNumberFormat="1" applyFont="1" applyAlignment="1">
      <alignment horizontal="center" vertical="center"/>
    </xf>
    <xf numFmtId="4" fontId="71" fillId="0" borderId="28" xfId="0" applyNumberFormat="1" applyFont="1" applyBorder="1" applyAlignment="1">
      <alignment horizontal="center" vertical="center" wrapText="1"/>
    </xf>
    <xf numFmtId="4" fontId="57" fillId="0" borderId="31" xfId="0" applyNumberFormat="1" applyFont="1" applyBorder="1" applyAlignment="1">
      <alignment horizontal="center" vertical="center" wrapText="1"/>
    </xf>
    <xf numFmtId="4" fontId="57" fillId="0" borderId="34" xfId="0" applyNumberFormat="1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10" borderId="14" xfId="0" applyFont="1" applyFill="1" applyBorder="1" applyAlignment="1" applyProtection="1">
      <alignment vertical="center"/>
      <protection locked="0"/>
    </xf>
    <xf numFmtId="0" fontId="72" fillId="2" borderId="0" xfId="0" applyFont="1" applyFill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 wrapText="1"/>
    </xf>
    <xf numFmtId="0" fontId="51" fillId="0" borderId="40" xfId="0" applyFont="1" applyBorder="1" applyAlignment="1">
      <alignment horizontal="center" vertical="center" wrapText="1"/>
    </xf>
    <xf numFmtId="0" fontId="53" fillId="0" borderId="41" xfId="0" applyFont="1" applyBorder="1" applyAlignment="1">
      <alignment horizontal="center" vertical="center" wrapText="1"/>
    </xf>
    <xf numFmtId="0" fontId="53" fillId="0" borderId="42" xfId="0" applyFont="1" applyBorder="1" applyAlignment="1">
      <alignment horizontal="center" vertical="center" wrapText="1"/>
    </xf>
    <xf numFmtId="0" fontId="51" fillId="0" borderId="35" xfId="0" applyFont="1" applyBorder="1" applyAlignment="1">
      <alignment horizontal="center" vertical="center" wrapText="1"/>
    </xf>
    <xf numFmtId="165" fontId="40" fillId="2" borderId="0" xfId="0" applyNumberFormat="1" applyFont="1" applyFill="1"/>
    <xf numFmtId="168" fontId="31" fillId="2" borderId="0" xfId="0" applyNumberFormat="1" applyFont="1" applyFill="1"/>
    <xf numFmtId="170" fontId="31" fillId="2" borderId="0" xfId="0" applyNumberFormat="1" applyFont="1" applyFill="1"/>
    <xf numFmtId="165" fontId="31" fillId="2" borderId="5" xfId="0" applyNumberFormat="1" applyFont="1" applyFill="1" applyBorder="1"/>
    <xf numFmtId="0" fontId="68" fillId="2" borderId="0" xfId="0" applyFont="1" applyFill="1"/>
    <xf numFmtId="1" fontId="51" fillId="0" borderId="35" xfId="0" applyNumberFormat="1" applyFont="1" applyBorder="1" applyAlignment="1">
      <alignment horizontal="center" vertical="center" wrapText="1"/>
    </xf>
    <xf numFmtId="165" fontId="69" fillId="2" borderId="0" xfId="0" applyNumberFormat="1" applyFont="1" applyFill="1"/>
    <xf numFmtId="0" fontId="73" fillId="2" borderId="0" xfId="0" applyFont="1" applyFill="1" applyAlignment="1">
      <alignment horizontal="left" indent="1"/>
    </xf>
    <xf numFmtId="0" fontId="73" fillId="2" borderId="0" xfId="0" applyFont="1" applyFill="1"/>
    <xf numFmtId="0" fontId="73" fillId="2" borderId="0" xfId="0" applyFont="1" applyFill="1" applyAlignment="1">
      <alignment horizontal="right" vertical="center"/>
    </xf>
    <xf numFmtId="0" fontId="74" fillId="2" borderId="0" xfId="0" applyFont="1" applyFill="1" applyAlignment="1">
      <alignment vertical="center"/>
    </xf>
    <xf numFmtId="0" fontId="73" fillId="2" borderId="4" xfId="0" applyFont="1" applyFill="1" applyBorder="1" applyAlignment="1">
      <alignment horizontal="left" indent="1"/>
    </xf>
    <xf numFmtId="0" fontId="73" fillId="2" borderId="4" xfId="0" applyFont="1" applyFill="1" applyBorder="1"/>
    <xf numFmtId="3" fontId="73" fillId="0" borderId="4" xfId="0" applyNumberFormat="1" applyFont="1" applyBorder="1" applyAlignment="1">
      <alignment horizontal="right" vertical="center"/>
    </xf>
    <xf numFmtId="173" fontId="73" fillId="2" borderId="0" xfId="0" applyNumberFormat="1" applyFont="1" applyFill="1" applyAlignment="1">
      <alignment vertical="center"/>
    </xf>
    <xf numFmtId="4" fontId="51" fillId="0" borderId="39" xfId="0" applyNumberFormat="1" applyFont="1" applyBorder="1" applyAlignment="1">
      <alignment horizontal="center" vertical="center" wrapText="1"/>
    </xf>
    <xf numFmtId="0" fontId="32" fillId="2" borderId="0" xfId="0" applyFont="1" applyFill="1" applyAlignment="1" applyProtection="1">
      <alignment horizontal="center" vertical="center" wrapText="1"/>
      <protection locked="0"/>
    </xf>
    <xf numFmtId="0" fontId="32" fillId="2" borderId="0" xfId="0" applyFont="1" applyFill="1" applyAlignment="1" applyProtection="1">
      <alignment horizontal="center" vertical="center"/>
      <protection locked="0"/>
    </xf>
    <xf numFmtId="0" fontId="32" fillId="2" borderId="15" xfId="0" applyFont="1" applyFill="1" applyBorder="1" applyAlignment="1" applyProtection="1">
      <alignment horizontal="center" vertical="center"/>
      <protection locked="0"/>
    </xf>
    <xf numFmtId="168" fontId="28" fillId="2" borderId="0" xfId="0" applyNumberFormat="1" applyFont="1" applyFill="1" applyAlignment="1">
      <alignment vertical="center"/>
    </xf>
    <xf numFmtId="167" fontId="51" fillId="0" borderId="39" xfId="0" applyNumberFormat="1" applyFont="1" applyBorder="1" applyAlignment="1">
      <alignment horizontal="center" vertical="center" wrapText="1"/>
    </xf>
    <xf numFmtId="0" fontId="28" fillId="2" borderId="45" xfId="0" applyFont="1" applyFill="1" applyBorder="1"/>
    <xf numFmtId="171" fontId="28" fillId="2" borderId="45" xfId="0" applyNumberFormat="1" applyFont="1" applyFill="1" applyBorder="1"/>
    <xf numFmtId="170" fontId="10" fillId="2" borderId="46" xfId="0" applyNumberFormat="1" applyFont="1" applyFill="1" applyBorder="1" applyAlignment="1" applyProtection="1">
      <alignment horizontal="right" vertical="center"/>
      <protection locked="0"/>
    </xf>
    <xf numFmtId="0" fontId="28" fillId="2" borderId="47" xfId="0" applyFont="1" applyFill="1" applyBorder="1"/>
    <xf numFmtId="165" fontId="28" fillId="2" borderId="45" xfId="0" applyNumberFormat="1" applyFont="1" applyFill="1" applyBorder="1"/>
    <xf numFmtId="0" fontId="28" fillId="2" borderId="48" xfId="0" applyFont="1" applyFill="1" applyBorder="1"/>
    <xf numFmtId="0" fontId="31" fillId="2" borderId="49" xfId="0" applyFont="1" applyFill="1" applyBorder="1"/>
    <xf numFmtId="0" fontId="31" fillId="4" borderId="49" xfId="0" applyFont="1" applyFill="1" applyBorder="1"/>
    <xf numFmtId="165" fontId="31" fillId="2" borderId="49" xfId="0" applyNumberFormat="1" applyFont="1" applyFill="1" applyBorder="1"/>
    <xf numFmtId="0" fontId="31" fillId="2" borderId="51" xfId="0" applyFont="1" applyFill="1" applyBorder="1"/>
    <xf numFmtId="165" fontId="10" fillId="2" borderId="49" xfId="0" applyNumberFormat="1" applyFont="1" applyFill="1" applyBorder="1"/>
    <xf numFmtId="165" fontId="31" fillId="2" borderId="51" xfId="0" applyNumberFormat="1" applyFont="1" applyFill="1" applyBorder="1"/>
    <xf numFmtId="0" fontId="31" fillId="2" borderId="52" xfId="0" applyFont="1" applyFill="1" applyBorder="1"/>
    <xf numFmtId="174" fontId="10" fillId="2" borderId="49" xfId="0" applyNumberFormat="1" applyFont="1" applyFill="1" applyBorder="1"/>
    <xf numFmtId="165" fontId="69" fillId="2" borderId="49" xfId="0" applyNumberFormat="1" applyFont="1" applyFill="1" applyBorder="1"/>
    <xf numFmtId="0" fontId="28" fillId="2" borderId="49" xfId="0" applyFont="1" applyFill="1" applyBorder="1"/>
    <xf numFmtId="0" fontId="27" fillId="5" borderId="49" xfId="0" applyFont="1" applyFill="1" applyBorder="1" applyAlignment="1">
      <alignment vertical="center"/>
    </xf>
    <xf numFmtId="0" fontId="10" fillId="2" borderId="53" xfId="0" applyFont="1" applyFill="1" applyBorder="1" applyAlignment="1">
      <alignment horizontal="center" vertical="center" wrapText="1"/>
    </xf>
    <xf numFmtId="165" fontId="28" fillId="2" borderId="49" xfId="0" applyNumberFormat="1" applyFont="1" applyFill="1" applyBorder="1"/>
    <xf numFmtId="165" fontId="10" fillId="2" borderId="54" xfId="0" applyNumberFormat="1" applyFont="1" applyFill="1" applyBorder="1"/>
    <xf numFmtId="165" fontId="10" fillId="2" borderId="55" xfId="0" applyNumberFormat="1" applyFont="1" applyFill="1" applyBorder="1"/>
    <xf numFmtId="165" fontId="10" fillId="2" borderId="51" xfId="0" applyNumberFormat="1" applyFont="1" applyFill="1" applyBorder="1" applyAlignment="1">
      <alignment horizontal="right" vertical="top"/>
    </xf>
    <xf numFmtId="0" fontId="15" fillId="4" borderId="50" xfId="0" applyFont="1" applyFill="1" applyBorder="1"/>
    <xf numFmtId="165" fontId="10" fillId="0" borderId="49" xfId="0" applyNumberFormat="1" applyFont="1" applyBorder="1"/>
    <xf numFmtId="165" fontId="9" fillId="2" borderId="51" xfId="0" applyNumberFormat="1" applyFont="1" applyFill="1" applyBorder="1"/>
    <xf numFmtId="165" fontId="10" fillId="2" borderId="51" xfId="0" applyNumberFormat="1" applyFont="1" applyFill="1" applyBorder="1"/>
    <xf numFmtId="165" fontId="28" fillId="2" borderId="49" xfId="0" applyNumberFormat="1" applyFont="1" applyFill="1" applyBorder="1" applyAlignment="1">
      <alignment vertical="center"/>
    </xf>
    <xf numFmtId="165" fontId="28" fillId="0" borderId="49" xfId="0" applyNumberFormat="1" applyFont="1" applyBorder="1"/>
    <xf numFmtId="174" fontId="10" fillId="2" borderId="54" xfId="0" applyNumberFormat="1" applyFont="1" applyFill="1" applyBorder="1"/>
    <xf numFmtId="0" fontId="28" fillId="2" borderId="52" xfId="0" applyFont="1" applyFill="1" applyBorder="1"/>
    <xf numFmtId="170" fontId="28" fillId="2" borderId="49" xfId="0" applyNumberFormat="1" applyFont="1" applyFill="1" applyBorder="1"/>
    <xf numFmtId="165" fontId="9" fillId="2" borderId="49" xfId="0" applyNumberFormat="1" applyFont="1" applyFill="1" applyBorder="1"/>
    <xf numFmtId="165" fontId="34" fillId="2" borderId="49" xfId="0" applyNumberFormat="1" applyFont="1" applyFill="1" applyBorder="1"/>
    <xf numFmtId="165" fontId="10" fillId="2" borderId="52" xfId="0" applyNumberFormat="1" applyFont="1" applyFill="1" applyBorder="1"/>
    <xf numFmtId="3" fontId="10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35" fillId="2" borderId="4" xfId="0" applyFont="1" applyFill="1" applyBorder="1"/>
    <xf numFmtId="0" fontId="9" fillId="2" borderId="0" xfId="0" applyFont="1" applyFill="1"/>
    <xf numFmtId="0" fontId="10" fillId="4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171" fontId="15" fillId="2" borderId="0" xfId="0" applyNumberFormat="1" applyFont="1" applyFill="1" applyAlignment="1">
      <alignment vertical="center"/>
    </xf>
    <xf numFmtId="0" fontId="35" fillId="2" borderId="4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32" fillId="2" borderId="0" xfId="0" applyFont="1" applyFill="1" applyAlignment="1">
      <alignment vertical="center"/>
    </xf>
    <xf numFmtId="0" fontId="32" fillId="2" borderId="5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9" fillId="2" borderId="4" xfId="0" applyFont="1" applyFill="1" applyBorder="1"/>
    <xf numFmtId="0" fontId="27" fillId="4" borderId="1" xfId="0" applyFont="1" applyFill="1" applyBorder="1" applyAlignment="1">
      <alignment horizontal="left" indent="1"/>
    </xf>
    <xf numFmtId="0" fontId="10" fillId="2" borderId="6" xfId="0" applyFont="1" applyFill="1" applyBorder="1" applyAlignment="1">
      <alignment vertical="center"/>
    </xf>
    <xf numFmtId="0" fontId="10" fillId="2" borderId="56" xfId="0" applyFont="1" applyFill="1" applyBorder="1"/>
    <xf numFmtId="0" fontId="9" fillId="2" borderId="0" xfId="0" applyFont="1" applyFill="1" applyAlignment="1">
      <alignment horizontal="left" wrapText="1" indent="1"/>
    </xf>
    <xf numFmtId="0" fontId="10" fillId="2" borderId="0" xfId="0" quotePrefix="1" applyFont="1" applyFill="1"/>
    <xf numFmtId="0" fontId="9" fillId="2" borderId="6" xfId="0" applyFont="1" applyFill="1" applyBorder="1" applyAlignment="1">
      <alignment horizontal="center" vertical="center" wrapText="1"/>
    </xf>
    <xf numFmtId="171" fontId="34" fillId="2" borderId="0" xfId="0" applyNumberFormat="1" applyFont="1" applyFill="1"/>
    <xf numFmtId="0" fontId="34" fillId="2" borderId="57" xfId="0" applyFont="1" applyFill="1" applyBorder="1"/>
    <xf numFmtId="0" fontId="75" fillId="2" borderId="4" xfId="0" applyFont="1" applyFill="1" applyBorder="1"/>
    <xf numFmtId="0" fontId="31" fillId="4" borderId="58" xfId="0" applyFont="1" applyFill="1" applyBorder="1"/>
    <xf numFmtId="164" fontId="10" fillId="2" borderId="0" xfId="1" applyFont="1" applyFill="1" applyAlignment="1">
      <alignment horizontal="right" vertical="center"/>
    </xf>
    <xf numFmtId="3" fontId="31" fillId="2" borderId="0" xfId="0" applyNumberFormat="1" applyFont="1" applyFill="1"/>
    <xf numFmtId="164" fontId="10" fillId="2" borderId="44" xfId="1" applyFont="1" applyFill="1" applyBorder="1"/>
    <xf numFmtId="164" fontId="10" fillId="2" borderId="0" xfId="1" applyFont="1" applyFill="1" applyAlignment="1">
      <alignment horizontal="right"/>
    </xf>
    <xf numFmtId="174" fontId="31" fillId="2" borderId="0" xfId="0" applyNumberFormat="1" applyFont="1" applyFill="1"/>
    <xf numFmtId="16" fontId="9" fillId="2" borderId="0" xfId="0" applyNumberFormat="1" applyFont="1" applyFill="1" applyAlignment="1">
      <alignment horizontal="center" vertical="center"/>
    </xf>
    <xf numFmtId="164" fontId="10" fillId="2" borderId="0" xfId="1" applyFont="1" applyFill="1" applyAlignment="1">
      <alignment horizontal="left" vertical="center"/>
    </xf>
    <xf numFmtId="169" fontId="0" fillId="2" borderId="0" xfId="0" applyNumberFormat="1" applyFill="1"/>
    <xf numFmtId="2" fontId="0" fillId="2" borderId="0" xfId="0" applyNumberFormat="1" applyFill="1"/>
    <xf numFmtId="175" fontId="0" fillId="2" borderId="0" xfId="0" applyNumberFormat="1" applyFill="1"/>
    <xf numFmtId="0" fontId="58" fillId="2" borderId="0" xfId="3" applyFont="1" applyFill="1" applyAlignment="1" applyProtection="1">
      <alignment horizontal="center" vertical="center"/>
      <protection locked="0"/>
    </xf>
    <xf numFmtId="171" fontId="28" fillId="2" borderId="60" xfId="0" applyNumberFormat="1" applyFont="1" applyFill="1" applyBorder="1"/>
    <xf numFmtId="171" fontId="28" fillId="2" borderId="61" xfId="0" applyNumberFormat="1" applyFont="1" applyFill="1" applyBorder="1"/>
    <xf numFmtId="171" fontId="34" fillId="2" borderId="61" xfId="0" applyNumberFormat="1" applyFont="1" applyFill="1" applyBorder="1"/>
    <xf numFmtId="0" fontId="10" fillId="0" borderId="0" xfId="0" applyFont="1" applyAlignment="1">
      <alignment horizontal="left" vertical="center"/>
    </xf>
    <xf numFmtId="0" fontId="31" fillId="0" borderId="49" xfId="0" applyFont="1" applyBorder="1"/>
    <xf numFmtId="0" fontId="31" fillId="0" borderId="0" xfId="0" applyFont="1"/>
    <xf numFmtId="168" fontId="6" fillId="2" borderId="62" xfId="0" applyNumberFormat="1" applyFont="1" applyFill="1" applyBorder="1" applyAlignment="1" applyProtection="1">
      <alignment horizontal="right" vertical="center"/>
      <protection locked="0"/>
    </xf>
    <xf numFmtId="174" fontId="10" fillId="2" borderId="0" xfId="1" applyNumberFormat="1" applyFont="1" applyFill="1"/>
    <xf numFmtId="165" fontId="35" fillId="2" borderId="4" xfId="0" applyNumberFormat="1" applyFont="1" applyFill="1" applyBorder="1"/>
    <xf numFmtId="3" fontId="31" fillId="2" borderId="4" xfId="0" applyNumberFormat="1" applyFont="1" applyFill="1" applyBorder="1"/>
    <xf numFmtId="177" fontId="53" fillId="0" borderId="41" xfId="0" quotePrefix="1" applyNumberFormat="1" applyFont="1" applyBorder="1" applyAlignment="1">
      <alignment horizontal="center" vertical="center" wrapText="1"/>
    </xf>
    <xf numFmtId="0" fontId="78" fillId="2" borderId="0" xfId="0" applyFont="1" applyFill="1" applyAlignment="1">
      <alignment horizontal="left" vertical="center" indent="1"/>
    </xf>
    <xf numFmtId="0" fontId="79" fillId="2" borderId="7" xfId="0" applyFont="1" applyFill="1" applyBorder="1" applyAlignment="1">
      <alignment horizontal="center" vertical="center" wrapText="1"/>
    </xf>
    <xf numFmtId="165" fontId="80" fillId="2" borderId="0" xfId="1" applyNumberFormat="1" applyFont="1" applyFill="1"/>
    <xf numFmtId="165" fontId="80" fillId="2" borderId="0" xfId="1" applyNumberFormat="1" applyFont="1" applyFill="1" applyAlignment="1">
      <alignment vertical="center"/>
    </xf>
    <xf numFmtId="165" fontId="80" fillId="2" borderId="8" xfId="1" applyNumberFormat="1" applyFont="1" applyFill="1" applyBorder="1" applyAlignment="1">
      <alignment vertical="center"/>
    </xf>
    <xf numFmtId="166" fontId="80" fillId="2" borderId="5" xfId="1" applyNumberFormat="1" applyFont="1" applyFill="1" applyBorder="1" applyAlignment="1">
      <alignment horizontal="right" vertical="center"/>
    </xf>
    <xf numFmtId="166" fontId="82" fillId="2" borderId="5" xfId="1" applyNumberFormat="1" applyFont="1" applyFill="1" applyBorder="1" applyAlignment="1">
      <alignment horizontal="right" vertical="center"/>
    </xf>
    <xf numFmtId="0" fontId="79" fillId="2" borderId="0" xfId="0" applyFont="1" applyFill="1" applyAlignment="1">
      <alignment horizontal="left" indent="1"/>
    </xf>
    <xf numFmtId="1" fontId="79" fillId="2" borderId="0" xfId="0" applyNumberFormat="1" applyFont="1" applyFill="1" applyAlignment="1">
      <alignment horizontal="right" vertical="center"/>
    </xf>
    <xf numFmtId="0" fontId="81" fillId="2" borderId="5" xfId="0" applyFont="1" applyFill="1" applyBorder="1"/>
    <xf numFmtId="0" fontId="83" fillId="2" borderId="1" xfId="0" applyFont="1" applyFill="1" applyBorder="1" applyAlignment="1">
      <alignment vertical="center"/>
    </xf>
    <xf numFmtId="0" fontId="84" fillId="2" borderId="1" xfId="0" applyFont="1" applyFill="1" applyBorder="1" applyAlignment="1">
      <alignment vertical="center"/>
    </xf>
    <xf numFmtId="0" fontId="82" fillId="2" borderId="2" xfId="0" applyFont="1" applyFill="1" applyBorder="1" applyAlignment="1">
      <alignment horizontal="center" vertical="center" wrapText="1"/>
    </xf>
    <xf numFmtId="0" fontId="85" fillId="2" borderId="0" xfId="0" applyFont="1" applyFill="1" applyAlignment="1">
      <alignment horizontal="left" vertical="center"/>
    </xf>
    <xf numFmtId="0" fontId="79" fillId="2" borderId="0" xfId="0" applyFont="1" applyFill="1" applyAlignment="1">
      <alignment horizontal="left" vertical="center"/>
    </xf>
    <xf numFmtId="165" fontId="80" fillId="2" borderId="3" xfId="1" applyNumberFormat="1" applyFont="1" applyFill="1" applyBorder="1"/>
    <xf numFmtId="165" fontId="86" fillId="2" borderId="3" xfId="1" applyNumberFormat="1" applyFont="1" applyFill="1" applyBorder="1"/>
    <xf numFmtId="0" fontId="87" fillId="2" borderId="0" xfId="0" applyFont="1" applyFill="1"/>
    <xf numFmtId="165" fontId="86" fillId="2" borderId="0" xfId="1" applyNumberFormat="1" applyFont="1" applyFill="1" applyAlignment="1">
      <alignment vertical="center"/>
    </xf>
    <xf numFmtId="165" fontId="86" fillId="2" borderId="0" xfId="1" applyNumberFormat="1" applyFont="1" applyFill="1"/>
    <xf numFmtId="165" fontId="80" fillId="2" borderId="4" xfId="1" applyNumberFormat="1" applyFont="1" applyFill="1" applyBorder="1"/>
    <xf numFmtId="165" fontId="86" fillId="2" borderId="4" xfId="1" applyNumberFormat="1" applyFont="1" applyFill="1" applyBorder="1"/>
    <xf numFmtId="165" fontId="85" fillId="2" borderId="0" xfId="1" applyNumberFormat="1" applyFont="1" applyFill="1"/>
    <xf numFmtId="0" fontId="4" fillId="2" borderId="16" xfId="0" applyFont="1" applyFill="1" applyBorder="1"/>
    <xf numFmtId="165" fontId="31" fillId="2" borderId="61" xfId="0" applyNumberFormat="1" applyFont="1" applyFill="1" applyBorder="1"/>
    <xf numFmtId="165" fontId="10" fillId="2" borderId="61" xfId="0" applyNumberFormat="1" applyFont="1" applyFill="1" applyBorder="1"/>
    <xf numFmtId="168" fontId="6" fillId="2" borderId="0" xfId="0" applyNumberFormat="1" applyFont="1" applyFill="1" applyAlignment="1" applyProtection="1">
      <alignment horizontal="right" vertical="center"/>
      <protection locked="0"/>
    </xf>
    <xf numFmtId="164" fontId="10" fillId="2" borderId="61" xfId="1" applyFont="1" applyFill="1" applyBorder="1"/>
    <xf numFmtId="164" fontId="10" fillId="2" borderId="16" xfId="1" applyFont="1" applyFill="1" applyBorder="1" applyAlignment="1">
      <alignment horizontal="left" vertical="center"/>
    </xf>
    <xf numFmtId="168" fontId="24" fillId="2" borderId="0" xfId="0" applyNumberFormat="1" applyFont="1" applyFill="1" applyAlignment="1" applyProtection="1">
      <alignment horizontal="right" vertical="center"/>
      <protection locked="0"/>
    </xf>
    <xf numFmtId="171" fontId="24" fillId="2" borderId="0" xfId="0" applyNumberFormat="1" applyFont="1" applyFill="1" applyAlignment="1">
      <alignment horizontal="right" vertical="center"/>
    </xf>
    <xf numFmtId="171" fontId="24" fillId="2" borderId="0" xfId="0" applyNumberFormat="1" applyFont="1" applyFill="1" applyAlignment="1">
      <alignment horizontal="right" vertical="center" wrapText="1"/>
    </xf>
    <xf numFmtId="0" fontId="27" fillId="2" borderId="0" xfId="0" applyFont="1" applyFill="1" applyAlignment="1">
      <alignment horizontal="left" vertical="center" indent="1"/>
    </xf>
    <xf numFmtId="165" fontId="0" fillId="2" borderId="0" xfId="0" applyNumberFormat="1" applyFill="1"/>
    <xf numFmtId="168" fontId="6" fillId="12" borderId="62" xfId="0" applyNumberFormat="1" applyFont="1" applyFill="1" applyBorder="1" applyAlignment="1" applyProtection="1">
      <alignment horizontal="right" vertical="center"/>
      <protection locked="0"/>
    </xf>
    <xf numFmtId="0" fontId="10" fillId="2" borderId="0" xfId="0" quotePrefix="1" applyFont="1" applyFill="1" applyAlignment="1">
      <alignment horizontal="left" wrapText="1" indent="1"/>
    </xf>
    <xf numFmtId="3" fontId="28" fillId="2" borderId="0" xfId="0" applyNumberFormat="1" applyFont="1" applyFill="1"/>
    <xf numFmtId="0" fontId="88" fillId="2" borderId="0" xfId="0" applyFont="1" applyFill="1"/>
    <xf numFmtId="1" fontId="89" fillId="2" borderId="0" xfId="0" applyNumberFormat="1" applyFont="1" applyFill="1" applyAlignment="1">
      <alignment horizontal="right" vertical="center"/>
    </xf>
    <xf numFmtId="166" fontId="90" fillId="2" borderId="0" xfId="1" applyNumberFormat="1" applyFont="1" applyFill="1" applyAlignment="1">
      <alignment horizontal="right" vertical="center"/>
    </xf>
    <xf numFmtId="166" fontId="91" fillId="2" borderId="0" xfId="1" applyNumberFormat="1" applyFont="1" applyFill="1" applyAlignment="1">
      <alignment horizontal="right" vertical="center"/>
    </xf>
    <xf numFmtId="0" fontId="92" fillId="3" borderId="0" xfId="0" applyFont="1" applyFill="1" applyAlignment="1">
      <alignment horizontal="left" indent="1"/>
    </xf>
    <xf numFmtId="0" fontId="93" fillId="3" borderId="0" xfId="0" applyFont="1" applyFill="1"/>
    <xf numFmtId="166" fontId="92" fillId="3" borderId="0" xfId="0" applyNumberFormat="1" applyFont="1" applyFill="1" applyAlignment="1">
      <alignment horizontal="right" vertical="center"/>
    </xf>
    <xf numFmtId="0" fontId="16" fillId="0" borderId="0" xfId="0" applyFont="1" applyAlignment="1">
      <alignment horizontal="left" indent="1"/>
    </xf>
    <xf numFmtId="0" fontId="17" fillId="0" borderId="0" xfId="0" applyFont="1"/>
    <xf numFmtId="166" fontId="16" fillId="0" borderId="0" xfId="0" applyNumberFormat="1" applyFont="1" applyAlignment="1">
      <alignment horizontal="right" vertical="center"/>
    </xf>
    <xf numFmtId="166" fontId="20" fillId="0" borderId="0" xfId="0" applyNumberFormat="1" applyFont="1" applyAlignment="1">
      <alignment horizontal="right" vertical="center"/>
    </xf>
    <xf numFmtId="0" fontId="92" fillId="0" borderId="0" xfId="0" applyFont="1" applyAlignment="1">
      <alignment horizontal="left" indent="1"/>
    </xf>
    <xf numFmtId="0" fontId="93" fillId="0" borderId="0" xfId="0" applyFont="1"/>
    <xf numFmtId="166" fontId="92" fillId="0" borderId="0" xfId="0" applyNumberFormat="1" applyFont="1" applyAlignment="1">
      <alignment horizontal="right" vertical="center"/>
    </xf>
    <xf numFmtId="166" fontId="94" fillId="0" borderId="0" xfId="0" applyNumberFormat="1" applyFont="1" applyAlignment="1">
      <alignment horizontal="right" vertical="center"/>
    </xf>
    <xf numFmtId="0" fontId="95" fillId="2" borderId="1" xfId="0" applyFont="1" applyFill="1" applyBorder="1" applyAlignment="1">
      <alignment vertical="center"/>
    </xf>
    <xf numFmtId="0" fontId="96" fillId="2" borderId="1" xfId="0" applyFont="1" applyFill="1" applyBorder="1" applyAlignment="1">
      <alignment vertical="center"/>
    </xf>
    <xf numFmtId="0" fontId="97" fillId="2" borderId="0" xfId="0" applyFont="1" applyFill="1" applyAlignment="1">
      <alignment horizontal="left" vertical="center" indent="1"/>
    </xf>
    <xf numFmtId="0" fontId="91" fillId="2" borderId="2" xfId="0" applyFont="1" applyFill="1" applyBorder="1" applyAlignment="1">
      <alignment horizontal="center" vertical="center" wrapText="1"/>
    </xf>
    <xf numFmtId="0" fontId="98" fillId="2" borderId="0" xfId="0" applyFont="1" applyFill="1" applyAlignment="1">
      <alignment horizontal="left" vertical="center"/>
    </xf>
    <xf numFmtId="165" fontId="90" fillId="2" borderId="3" xfId="1" applyNumberFormat="1" applyFont="1" applyFill="1" applyBorder="1"/>
    <xf numFmtId="165" fontId="99" fillId="2" borderId="3" xfId="1" applyNumberFormat="1" applyFont="1" applyFill="1" applyBorder="1"/>
    <xf numFmtId="0" fontId="100" fillId="2" borderId="0" xfId="0" applyFont="1" applyFill="1"/>
    <xf numFmtId="165" fontId="90" fillId="2" borderId="0" xfId="1" applyNumberFormat="1" applyFont="1" applyFill="1" applyAlignment="1">
      <alignment vertical="center"/>
    </xf>
    <xf numFmtId="165" fontId="90" fillId="2" borderId="0" xfId="1" applyNumberFormat="1" applyFont="1" applyFill="1"/>
    <xf numFmtId="165" fontId="90" fillId="2" borderId="4" xfId="1" applyNumberFormat="1" applyFont="1" applyFill="1" applyBorder="1"/>
    <xf numFmtId="165" fontId="99" fillId="2" borderId="0" xfId="1" applyNumberFormat="1" applyFont="1" applyFill="1"/>
    <xf numFmtId="165" fontId="98" fillId="2" borderId="0" xfId="1" applyNumberFormat="1" applyFont="1" applyFill="1"/>
    <xf numFmtId="0" fontId="24" fillId="2" borderId="43" xfId="0" applyFont="1" applyFill="1" applyBorder="1" applyAlignment="1">
      <alignment vertical="center" wrapText="1"/>
    </xf>
    <xf numFmtId="0" fontId="37" fillId="2" borderId="43" xfId="0" applyFont="1" applyFill="1" applyBorder="1" applyAlignment="1">
      <alignment horizontal="center" vertical="center" wrapText="1"/>
    </xf>
    <xf numFmtId="178" fontId="6" fillId="2" borderId="43" xfId="0" applyNumberFormat="1" applyFont="1" applyFill="1" applyBorder="1" applyAlignment="1">
      <alignment horizontal="right" vertical="center" wrapText="1"/>
    </xf>
    <xf numFmtId="3" fontId="58" fillId="2" borderId="0" xfId="3" applyNumberFormat="1" applyFont="1" applyFill="1" applyAlignment="1" applyProtection="1">
      <alignment horizontal="center" vertical="center"/>
      <protection locked="0"/>
    </xf>
    <xf numFmtId="0" fontId="10" fillId="2" borderId="4" xfId="0" applyFont="1" applyFill="1" applyBorder="1" applyAlignment="1">
      <alignment horizontal="center" vertical="center" wrapText="1"/>
    </xf>
    <xf numFmtId="165" fontId="31" fillId="0" borderId="0" xfId="0" applyNumberFormat="1" applyFont="1"/>
    <xf numFmtId="179" fontId="39" fillId="2" borderId="0" xfId="1" applyNumberFormat="1" applyFont="1" applyFill="1" applyBorder="1"/>
    <xf numFmtId="179" fontId="9" fillId="0" borderId="4" xfId="0" applyNumberFormat="1" applyFont="1" applyBorder="1"/>
    <xf numFmtId="179" fontId="38" fillId="2" borderId="4" xfId="0" applyNumberFormat="1" applyFont="1" applyFill="1" applyBorder="1"/>
    <xf numFmtId="180" fontId="6" fillId="12" borderId="43" xfId="0" applyNumberFormat="1" applyFont="1" applyFill="1" applyBorder="1" applyAlignment="1">
      <alignment horizontal="right" vertical="center" wrapText="1"/>
    </xf>
    <xf numFmtId="0" fontId="10" fillId="0" borderId="6" xfId="0" applyFont="1" applyBorder="1" applyAlignment="1">
      <alignment horizontal="center" vertical="center" wrapText="1"/>
    </xf>
    <xf numFmtId="0" fontId="37" fillId="2" borderId="0" xfId="3" applyFont="1" applyFill="1" applyAlignment="1" applyProtection="1">
      <alignment horizontal="center" vertical="center"/>
      <protection locked="0"/>
    </xf>
    <xf numFmtId="49" fontId="37" fillId="2" borderId="0" xfId="3" applyNumberFormat="1" applyFont="1" applyFill="1" applyAlignment="1" applyProtection="1">
      <alignment horizontal="center" vertical="center"/>
      <protection locked="0"/>
    </xf>
    <xf numFmtId="0" fontId="10" fillId="10" borderId="6" xfId="0" applyFont="1" applyFill="1" applyBorder="1" applyAlignment="1">
      <alignment horizontal="center" vertical="center" wrapText="1"/>
    </xf>
    <xf numFmtId="4" fontId="51" fillId="0" borderId="35" xfId="0" applyNumberFormat="1" applyFont="1" applyBorder="1" applyAlignment="1">
      <alignment horizontal="center" vertical="center" wrapText="1"/>
    </xf>
    <xf numFmtId="0" fontId="98" fillId="2" borderId="9" xfId="0" applyFont="1" applyFill="1" applyBorder="1" applyAlignment="1">
      <alignment horizontal="center" vertical="center" wrapText="1"/>
    </xf>
    <xf numFmtId="0" fontId="85" fillId="2" borderId="9" xfId="0" applyFont="1" applyFill="1" applyBorder="1" applyAlignment="1">
      <alignment horizontal="center" vertical="center" wrapText="1"/>
    </xf>
    <xf numFmtId="0" fontId="39" fillId="2" borderId="9" xfId="0" applyFont="1" applyFill="1" applyBorder="1" applyAlignment="1">
      <alignment horizontal="center" vertical="center" wrapText="1"/>
    </xf>
    <xf numFmtId="0" fontId="38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1" fillId="4" borderId="0" xfId="0" applyFont="1" applyFill="1"/>
    <xf numFmtId="0" fontId="0" fillId="0" borderId="0" xfId="0"/>
    <xf numFmtId="0" fontId="0" fillId="2" borderId="43" xfId="0" applyFill="1" applyBorder="1"/>
    <xf numFmtId="0" fontId="0" fillId="0" borderId="43" xfId="0" applyBorder="1"/>
    <xf numFmtId="0" fontId="27" fillId="4" borderId="1" xfId="0" applyFont="1" applyFill="1" applyBorder="1" applyAlignment="1">
      <alignment horizontal="left" vertical="center"/>
    </xf>
    <xf numFmtId="0" fontId="0" fillId="0" borderId="1" xfId="0" applyBorder="1"/>
    <xf numFmtId="0" fontId="27" fillId="4" borderId="0" xfId="0" applyFont="1" applyFill="1" applyAlignment="1">
      <alignment horizontal="left" vertical="center"/>
    </xf>
    <xf numFmtId="0" fontId="27" fillId="4" borderId="59" xfId="0" applyFont="1" applyFill="1" applyBorder="1" applyAlignment="1">
      <alignment vertical="center"/>
    </xf>
    <xf numFmtId="0" fontId="0" fillId="4" borderId="1" xfId="0" applyFill="1" applyBorder="1"/>
  </cellXfs>
  <cellStyles count="5">
    <cellStyle name="DM_Liczba" xfId="4" xr:uid="{00000000-0005-0000-0000-000000000000}"/>
    <cellStyle name="Dobry" xfId="2" builtinId="26"/>
    <cellStyle name="Dziesiętny" xfId="1" builtinId="3"/>
    <cellStyle name="Normalny" xfId="0" builtinId="0"/>
    <cellStyle name="Normalny 2" xfId="3" xr:uid="{00000000-0005-0000-0000-000004000000}"/>
  </cellStyles>
  <dxfs count="0"/>
  <tableStyles count="0" defaultTableStyle="TableStyleMedium2" defaultPivotStyle="PivotStyleLight16"/>
  <colors>
    <mruColors>
      <color rgb="FFFF66CC"/>
      <color rgb="FFE2007A"/>
      <color rgb="FFF74B80"/>
      <color rgb="FF9494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styles" Target="styles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theme" Target="theme/theme1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.tauronet.tauron.pl/15.20%20&#346;R&#211;DROCZNE%20MSSF%202016/2016%20-%20Q%20III/Sprawozdanie/MSSF_2016_QIII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5.39%20KONSOLIDACJA%20MSSF%202022\sprawozdanie\excel%20SAP%20DM\aktualne\SKONSOLIDOWANE%20SPRAWOZDANIE%20Z%20SYTUACJI%20FINANSOWEJ_V104.xlsx" TargetMode="External"/><Relationship Id="rId1" Type="http://schemas.openxmlformats.org/officeDocument/2006/relationships/externalLinkPath" Target="https://tauron.sharepoint.com/sites/PCUWR-FCO/Shared%20Documents/01_Grupa/200_Sprawozdawczosc/2022/12/42_Spreadsheet/excel%20SAP%20DM/aktualne/SKONSOLIDOWANE%20SPRAWOZDANIE%20Z%20SYTUACJI%20FINANSOWEJ_V10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auron.sharepoint.com/sites/PCUWR-FCO/Shared%20Documents/01_Grupa/200_Sprawozdawczosc/2024/09/10_Grupa/01_MSSF_Grupa/20241126/3%20Segmenty%20operacyjne.xlsx" TargetMode="External"/><Relationship Id="rId1" Type="http://schemas.openxmlformats.org/officeDocument/2006/relationships/externalLinkPath" Target="https://tauron.sharepoint.com/sites/PCUWR-FCO/Shared%20Documents/01_Grupa/200_Sprawozdawczosc/2024/09/10_Grupa/01_MSSF_Grupa/20241126/3%20Segmenty%20operacyjne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auron.sharepoint.com/sites/PCUWR-FCO/Shared%20Documents/01_Grupa/200_Sprawozdawczosc/2024/03/10_Grupa/01_MSSF_Grupa/20240517/3%20Segmenty%20operacyjne.xlsx" TargetMode="External"/><Relationship Id="rId1" Type="http://schemas.openxmlformats.org/officeDocument/2006/relationships/externalLinkPath" Target="https://tauron.sharepoint.com/sites/PCUWR-FCO/Shared%20Documents/01_Grupa/200_Sprawozdawczosc/2024/03/10_Grupa/01_MSSF_Grupa/20240517/3%20Segmenty%20operacyjne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auron.sharepoint.com/sites/PCUWR-FCO/Shared%20Documents/01_Grupa/200_Sprawozdawczosc/2023/12/10_Grupa/01_MSSF_Grupa/20240404/3%20Segmenty%20operacyjne.xlsx" TargetMode="External"/><Relationship Id="rId1" Type="http://schemas.openxmlformats.org/officeDocument/2006/relationships/externalLinkPath" Target="https://tauron.sharepoint.com/sites/PCUWR-FCO/Shared%20Documents/01_Grupa/200_Sprawozdawczosc/2023/12/10_Grupa/01_MSSF_Grupa/20240404/3%20Segmenty%20operacyjne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auron.sharepoint.com/sites/PCUWR-FCO/Shared%20Documents/01_Grupa/200_Sprawozdawczosc/2023/09/10_Grupa/01_MSSF_Grupa/20231116/3%20Segmenty%20operacyjne_V51.xlsx" TargetMode="External"/><Relationship Id="rId1" Type="http://schemas.openxmlformats.org/officeDocument/2006/relationships/externalLinkPath" Target="https://tauron.sharepoint.com/sites/PCUWR-FCO/Shared%20Documents/01_Grupa/200_Sprawozdawczosc/2023/09/10_Grupa/01_MSSF_Grupa/20231116/3%20Segmenty%20operacyjne_V51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auron.sharepoint.com/sites/PCUWR-FCO/Shared%20Documents/01_Grupa/200_Sprawozdawczosc/2023/06/10_Grupa/01_MSSF_Grupa/20230824/3%20Segmenty%20operacyjne_V73.xlsx" TargetMode="External"/><Relationship Id="rId1" Type="http://schemas.openxmlformats.org/officeDocument/2006/relationships/externalLinkPath" Target="https://tauron.sharepoint.com/sites/PCUWR-FCO/Shared%20Documents/01_Grupa/200_Sprawozdawczosc/2023/06/10_Grupa/01_MSSF_Grupa/20230824/3%20Segmenty%20operacyjne_V73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auron.sharepoint.com/sites/PCUWR-FCO/Shared%20Documents/01_Grupa/200_Sprawozdawczosc/2023/03/10_Grupa/01_MSSF_Grupa/20230516/3%20Segmenty%20operacyjne_V53.xlsx" TargetMode="External"/><Relationship Id="rId1" Type="http://schemas.openxmlformats.org/officeDocument/2006/relationships/externalLinkPath" Target="https://tauron.sharepoint.com/sites/PCUWR-FCO/Shared%20Documents/01_Grupa/200_Sprawozdawczosc/2023/03/10_Grupa/01_MSSF_Grupa/20230516/3%20Segmenty%20operacyjne_V53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auron.sharepoint.com/sites/PCUWR-FCO/Shared%20Documents/01_Grupa/200_Sprawozdawczosc/2024/06/10_Grupa/01_MSSF_Grupa/20240828/3%20Segmenty%20operacyjne.xlsx" TargetMode="External"/><Relationship Id="rId1" Type="http://schemas.openxmlformats.org/officeDocument/2006/relationships/externalLinkPath" Target="https://tauron.sharepoint.com/sites/PCUWR-FCO/Shared%20Documents/01_Grupa/200_Sprawozdawczosc/2024/06/10_Grupa/01_MSSF_Grupa/20240828/3%20Segmenty%20operacyj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usz1"/>
      <sheetName val="RZS3"/>
      <sheetName val="RZS3 FIN"/>
      <sheetName val="BZ1"/>
      <sheetName val="KAP"/>
      <sheetName val="CF2"/>
      <sheetName val="Skład Grupy bezp i pośr"/>
      <sheetName val="szacunki i osądy"/>
      <sheetName val="aktuariusz_zał"/>
      <sheetName val="nowe standardy"/>
      <sheetName val="nowe standardy ANGIELSKA WERSJA"/>
      <sheetName val="zmiana porównywalności SSzCD"/>
      <sheetName val="zmiana porównywalności SSzSF"/>
      <sheetName val="Segmenty"/>
      <sheetName val="1_1 "/>
      <sheetName val="1_1  trzy m-ce"/>
      <sheetName val="1_3_1"/>
      <sheetName val="2_5"/>
      <sheetName val="2_3"/>
      <sheetName val="2_4"/>
      <sheetName val="2_34"/>
      <sheetName val="4_1"/>
      <sheetName val="3_2"/>
      <sheetName val="8_1 "/>
      <sheetName val="8_1 zakupy"/>
      <sheetName val="Wartość firmy"/>
      <sheetName val="11_1"/>
      <sheetName val="11_1 PM długoterm"/>
      <sheetName val="pożyczki ECSW"/>
      <sheetName val="JV"/>
      <sheetName val="poz. akt. fin."/>
      <sheetName val="21_1, 21_2 poz. akt. niefin"/>
      <sheetName val="należności z tytułu podatków"/>
      <sheetName val="11_9_11_10"/>
      <sheetName val="18"/>
      <sheetName val="19_1"/>
      <sheetName val="20"/>
      <sheetName val="akcjonariat"/>
      <sheetName val="IRS"/>
      <sheetName val="zysk na akcję"/>
      <sheetName val="kredyty i obl razem"/>
      <sheetName val="kredyty pożyczki"/>
      <sheetName val="kredyty i pożyczki"/>
      <sheetName val="ruchy kredytów i pożyczek"/>
      <sheetName val="kr i poż główne pozycje"/>
      <sheetName val="obligacje"/>
      <sheetName val="ruchy obligacji"/>
      <sheetName val="pochodne"/>
      <sheetName val="IP met. wyceny"/>
      <sheetName val="rezerwy prac. razem"/>
      <sheetName val="22_1,22_2"/>
      <sheetName val="22_4"/>
      <sheetName val="23 rez likwid śr trw i rekultyw"/>
      <sheetName val="23 rez n zob z t św poch energ"/>
      <sheetName val="23 pozostałe rezerwy"/>
      <sheetName val="21_3,21_4 RMK. RMP"/>
      <sheetName val="24_1,24_2 poz. zob."/>
      <sheetName val="24_1,24_2 poz. zob. podatkowe "/>
      <sheetName val="Zob. inwestycyjne"/>
      <sheetName val="zob. warunkowe "/>
      <sheetName val="zob. war. podatki"/>
      <sheetName val="16_6_1 zab. spłaty zob."/>
      <sheetName val="zab.spłaty zob. 2 (2)"/>
      <sheetName val="transakcje JV"/>
      <sheetName val="SSP"/>
      <sheetName val="25"/>
      <sheetName val="instr. finansowe"/>
      <sheetName val="hierarchia wartości godziwej"/>
      <sheetName val="cash flow"/>
      <sheetName val="NBGT"/>
      <sheetName val="testy RAT CGU"/>
      <sheetName val="testy wrażliwość"/>
      <sheetName val="testy RAT CGU 2"/>
      <sheetName val="testy WF założenia"/>
    </sheetNames>
    <sheetDataSet>
      <sheetData sheetId="0">
        <row r="20">
          <cell r="B20" t="str">
            <v>Okres 9 miesięcy zakończony 
30 września 2016</v>
          </cell>
          <cell r="D20" t="str">
            <v>9-month period ended 
30 September 2016</v>
          </cell>
        </row>
        <row r="21">
          <cell r="B21" t="str">
            <v>Okres 9 miesięcy zakończony  
30 września 2015</v>
          </cell>
          <cell r="D21" t="str">
            <v>9-month period ended 
30 September 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"/>
      <sheetName val="Settings"/>
      <sheetName val="ToC"/>
      <sheetName val="BZ"/>
      <sheetName val="BZ1"/>
      <sheetName val="BZ3"/>
      <sheetName val="MSSF5_BZ"/>
      <sheetName val="BZ4"/>
      <sheetName val="BIPMETAWS"/>
      <sheetName val="BD1"/>
      <sheetName val="BD2"/>
      <sheetName val="BD3"/>
      <sheetName val="BD4"/>
      <sheetName val="DM_Variables"/>
      <sheetName val="BMD1"/>
      <sheetName val="BD5"/>
      <sheetName val="MASSBIPMETAWS"/>
    </sheetNames>
    <sheetDataSet>
      <sheetData sheetId="0" refreshError="1"/>
      <sheetData sheetId="1">
        <row r="7">
          <cell r="E7">
            <v>1000000</v>
          </cell>
        </row>
        <row r="9">
          <cell r="E9">
            <v>0</v>
          </cell>
        </row>
      </sheetData>
      <sheetData sheetId="2" refreshError="1"/>
      <sheetData sheetId="3" refreshError="1"/>
      <sheetData sheetId="4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"/>
      <sheetName val="BIPMETAWS"/>
      <sheetName val="Settings"/>
      <sheetName val="segmenty prez"/>
      <sheetName val="segmenty"/>
      <sheetName val="segmenty 3 m-ce PREZ"/>
      <sheetName val="segmenty 3 m-ce"/>
      <sheetName val="1_1"/>
      <sheetName val="18"/>
      <sheetName val="Nakłady inwesycyjne TW"/>
      <sheetName val="przekształcenie Veolia"/>
      <sheetName val="RZS3 FIN_2"/>
      <sheetName val="BZ"/>
      <sheetName val="2_5"/>
      <sheetName val="BD1"/>
      <sheetName val="BD2"/>
      <sheetName val="BD3"/>
      <sheetName val="BD4"/>
      <sheetName val="BD5"/>
      <sheetName val="BD6"/>
      <sheetName val="WT_1_1"/>
      <sheetName val="BD7"/>
      <sheetName val="WT_2_5"/>
      <sheetName val="BD8"/>
      <sheetName val="Pochodne wycena"/>
      <sheetName val="BD9"/>
      <sheetName val="EUA"/>
      <sheetName val="MSSF5 RZS"/>
      <sheetName val="Nakłady inwestycyjne TWD 2Q2022"/>
      <sheetName val="BD10"/>
      <sheetName val="BD11"/>
    </sheetNames>
    <sheetDataSet>
      <sheetData sheetId="0" refreshError="1"/>
      <sheetData sheetId="1" refreshError="1"/>
      <sheetData sheetId="2" refreshError="1"/>
      <sheetData sheetId="3">
        <row r="35">
          <cell r="B35">
            <v>70</v>
          </cell>
          <cell r="C35">
            <v>92</v>
          </cell>
          <cell r="D35">
            <v>1141</v>
          </cell>
          <cell r="E35">
            <v>2164</v>
          </cell>
          <cell r="F35">
            <v>47</v>
          </cell>
          <cell r="G35">
            <v>135</v>
          </cell>
        </row>
        <row r="71">
          <cell r="B71">
            <v>217</v>
          </cell>
          <cell r="C71">
            <v>166</v>
          </cell>
          <cell r="D71">
            <v>396</v>
          </cell>
          <cell r="E71">
            <v>1896</v>
          </cell>
          <cell r="F71">
            <v>70</v>
          </cell>
          <cell r="G71">
            <v>142</v>
          </cell>
        </row>
      </sheetData>
      <sheetData sheetId="4">
        <row r="9">
          <cell r="B9">
            <v>5653</v>
          </cell>
          <cell r="C9">
            <v>1394</v>
          </cell>
          <cell r="D9">
            <v>688</v>
          </cell>
          <cell r="E9">
            <v>8127</v>
          </cell>
          <cell r="F9">
            <v>20124</v>
          </cell>
          <cell r="G9">
            <v>937</v>
          </cell>
          <cell r="H9">
            <v>-13893</v>
          </cell>
          <cell r="I9">
            <v>23030</v>
          </cell>
        </row>
        <row r="19">
          <cell r="I19">
            <v>-207</v>
          </cell>
        </row>
        <row r="25">
          <cell r="B25">
            <v>4907</v>
          </cell>
          <cell r="C25">
            <v>2586</v>
          </cell>
          <cell r="D25">
            <v>5079</v>
          </cell>
          <cell r="E25">
            <v>25309</v>
          </cell>
          <cell r="F25">
            <v>5215</v>
          </cell>
          <cell r="G25">
            <v>1265</v>
          </cell>
          <cell r="H25">
            <v>1436</v>
          </cell>
        </row>
        <row r="31">
          <cell r="B31">
            <v>-1374</v>
          </cell>
          <cell r="C31">
            <v>-4</v>
          </cell>
          <cell r="D31">
            <v>351</v>
          </cell>
          <cell r="E31">
            <v>1591</v>
          </cell>
          <cell r="F31">
            <v>721</v>
          </cell>
          <cell r="G31">
            <v>146</v>
          </cell>
          <cell r="H31">
            <v>-126</v>
          </cell>
        </row>
        <row r="34">
          <cell r="B34">
            <v>309</v>
          </cell>
          <cell r="C34">
            <v>223</v>
          </cell>
          <cell r="D34">
            <v>494</v>
          </cell>
          <cell r="E34">
            <v>2638</v>
          </cell>
          <cell r="F34">
            <v>762</v>
          </cell>
          <cell r="G34">
            <v>314</v>
          </cell>
          <cell r="H34">
            <v>-134</v>
          </cell>
          <cell r="I34">
            <v>4606</v>
          </cell>
        </row>
        <row r="37">
          <cell r="I37">
            <v>3649</v>
          </cell>
        </row>
        <row r="47">
          <cell r="B47">
            <v>8189</v>
          </cell>
          <cell r="C47">
            <v>1664</v>
          </cell>
          <cell r="D47">
            <v>561</v>
          </cell>
          <cell r="E47">
            <v>8961</v>
          </cell>
          <cell r="F47">
            <v>26662</v>
          </cell>
          <cell r="G47">
            <v>784</v>
          </cell>
          <cell r="H47">
            <v>-15038</v>
          </cell>
          <cell r="I47">
            <v>31783</v>
          </cell>
        </row>
        <row r="63">
          <cell r="B63">
            <v>7018</v>
          </cell>
          <cell r="C63">
            <v>2995</v>
          </cell>
          <cell r="D63">
            <v>3971</v>
          </cell>
          <cell r="E63">
            <v>24194</v>
          </cell>
          <cell r="F63">
            <v>8581</v>
          </cell>
          <cell r="G63">
            <v>1291</v>
          </cell>
          <cell r="H63">
            <v>1748</v>
          </cell>
        </row>
        <row r="69">
          <cell r="B69">
            <v>605</v>
          </cell>
          <cell r="C69">
            <v>140</v>
          </cell>
          <cell r="D69">
            <v>179</v>
          </cell>
          <cell r="E69">
            <v>2442</v>
          </cell>
          <cell r="F69">
            <v>410</v>
          </cell>
          <cell r="G69">
            <v>32</v>
          </cell>
          <cell r="H69">
            <v>17</v>
          </cell>
        </row>
        <row r="72">
          <cell r="B72">
            <v>876</v>
          </cell>
          <cell r="C72">
            <v>221</v>
          </cell>
          <cell r="D72">
            <v>321</v>
          </cell>
          <cell r="E72">
            <v>3426</v>
          </cell>
          <cell r="F72">
            <v>452</v>
          </cell>
          <cell r="G72">
            <v>160</v>
          </cell>
          <cell r="H72">
            <v>15</v>
          </cell>
        </row>
      </sheetData>
      <sheetData sheetId="5">
        <row r="25">
          <cell r="B25">
            <v>30</v>
          </cell>
          <cell r="C25">
            <v>39</v>
          </cell>
          <cell r="D25">
            <v>909</v>
          </cell>
          <cell r="E25">
            <v>764</v>
          </cell>
          <cell r="F25">
            <v>16</v>
          </cell>
          <cell r="G25">
            <v>32</v>
          </cell>
        </row>
        <row r="54">
          <cell r="B54">
            <v>99</v>
          </cell>
          <cell r="C54">
            <v>89</v>
          </cell>
          <cell r="D54">
            <v>86</v>
          </cell>
          <cell r="E54">
            <v>676</v>
          </cell>
          <cell r="F54">
            <v>24</v>
          </cell>
          <cell r="G54">
            <v>48</v>
          </cell>
        </row>
      </sheetData>
      <sheetData sheetId="6">
        <row r="69">
          <cell r="B69">
            <v>1870</v>
          </cell>
          <cell r="C69">
            <v>247</v>
          </cell>
          <cell r="D69">
            <v>176</v>
          </cell>
          <cell r="E69">
            <v>2876</v>
          </cell>
          <cell r="F69">
            <v>8421</v>
          </cell>
          <cell r="G69">
            <v>309</v>
          </cell>
          <cell r="H69">
            <v>-6153</v>
          </cell>
        </row>
        <row r="81">
          <cell r="B81">
            <v>120</v>
          </cell>
          <cell r="C81">
            <v>31</v>
          </cell>
          <cell r="D81">
            <v>77</v>
          </cell>
          <cell r="E81">
            <v>665</v>
          </cell>
          <cell r="F81">
            <v>48</v>
          </cell>
          <cell r="G81">
            <v>43</v>
          </cell>
          <cell r="H81">
            <v>-38</v>
          </cell>
        </row>
        <row r="84">
          <cell r="B84">
            <v>153</v>
          </cell>
          <cell r="C84">
            <v>57</v>
          </cell>
          <cell r="D84">
            <v>125</v>
          </cell>
          <cell r="E84">
            <v>1022</v>
          </cell>
          <cell r="F84">
            <v>63</v>
          </cell>
          <cell r="G84">
            <v>100</v>
          </cell>
          <cell r="H84">
            <v>-43</v>
          </cell>
        </row>
        <row r="100">
          <cell r="B100">
            <v>2455</v>
          </cell>
          <cell r="C100">
            <v>278</v>
          </cell>
          <cell r="D100">
            <v>121</v>
          </cell>
          <cell r="E100">
            <v>2845</v>
          </cell>
          <cell r="F100">
            <v>6359</v>
          </cell>
          <cell r="G100">
            <v>267</v>
          </cell>
          <cell r="H100">
            <v>-3165</v>
          </cell>
        </row>
        <row r="112">
          <cell r="B112">
            <v>25</v>
          </cell>
          <cell r="C112">
            <v>-11</v>
          </cell>
          <cell r="D112">
            <v>-1</v>
          </cell>
          <cell r="E112">
            <v>763</v>
          </cell>
          <cell r="F112">
            <v>-105</v>
          </cell>
          <cell r="G112">
            <v>1</v>
          </cell>
          <cell r="H112">
            <v>-32</v>
          </cell>
        </row>
        <row r="115">
          <cell r="B115">
            <v>118</v>
          </cell>
          <cell r="C115">
            <v>16</v>
          </cell>
          <cell r="D115">
            <v>45</v>
          </cell>
          <cell r="E115">
            <v>1098</v>
          </cell>
          <cell r="F115">
            <v>-92</v>
          </cell>
          <cell r="G115">
            <v>46</v>
          </cell>
          <cell r="H115">
            <v>-34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"/>
      <sheetName val="BIPMETAWS"/>
      <sheetName val="Settings"/>
      <sheetName val="segmenty prez"/>
      <sheetName val="segmenty PY"/>
      <sheetName val="segmenty"/>
      <sheetName val="segmenty 3 m-ce PREZ"/>
      <sheetName val="segmenty 3 m-ce PY"/>
      <sheetName val="segmenty 3 m-ce"/>
      <sheetName val="Działalność zaniech."/>
      <sheetName val="1_1"/>
      <sheetName val="18"/>
      <sheetName val="Nakłady inwesycyjne TW"/>
      <sheetName val="RZS3 FIN_2"/>
      <sheetName val="BZ"/>
      <sheetName val="2_5"/>
      <sheetName val="BD1"/>
      <sheetName val="BD2"/>
      <sheetName val="BD3"/>
      <sheetName val="BD4"/>
      <sheetName val="BD5"/>
      <sheetName val="BD6"/>
      <sheetName val="WT_1_1"/>
      <sheetName val="BD7"/>
      <sheetName val="WT_2_5"/>
      <sheetName val="BD8"/>
      <sheetName val="Pochodne wycena"/>
      <sheetName val="BD9"/>
      <sheetName val="EUA"/>
      <sheetName val="MSSF5 RZS"/>
      <sheetName val="BD10"/>
      <sheetName val="Nakłady inwestycyjne TWD 3Q2022"/>
      <sheetName val="działalność zaniechana"/>
      <sheetName val="BD11"/>
      <sheetName val="2_5 3Q2022"/>
      <sheetName val="BD12"/>
      <sheetName val="BD13"/>
    </sheetNames>
    <sheetDataSet>
      <sheetData sheetId="0"/>
      <sheetData sheetId="1"/>
      <sheetData sheetId="2"/>
      <sheetData sheetId="3">
        <row r="9">
          <cell r="G9">
            <v>-4371</v>
          </cell>
        </row>
        <row r="12">
          <cell r="G12">
            <v>-46</v>
          </cell>
        </row>
        <row r="16">
          <cell r="G16">
            <v>-47</v>
          </cell>
        </row>
        <row r="27">
          <cell r="G27">
            <v>1856</v>
          </cell>
        </row>
        <row r="45">
          <cell r="G45">
            <v>-6685</v>
          </cell>
        </row>
        <row r="48">
          <cell r="G48">
            <v>86</v>
          </cell>
        </row>
        <row r="52">
          <cell r="G52">
            <v>85</v>
          </cell>
        </row>
        <row r="63">
          <cell r="G63">
            <v>1748</v>
          </cell>
        </row>
      </sheetData>
      <sheetData sheetId="4"/>
      <sheetData sheetId="5">
        <row r="9">
          <cell r="B9">
            <v>2860</v>
          </cell>
          <cell r="C9">
            <v>292</v>
          </cell>
          <cell r="D9">
            <v>2446</v>
          </cell>
          <cell r="E9">
            <v>6494</v>
          </cell>
          <cell r="F9">
            <v>421</v>
          </cell>
          <cell r="H9">
            <v>8142</v>
          </cell>
        </row>
        <row r="19">
          <cell r="H19">
            <v>531</v>
          </cell>
        </row>
        <row r="25">
          <cell r="B25">
            <v>9914</v>
          </cell>
          <cell r="C25">
            <v>4288</v>
          </cell>
          <cell r="D25">
            <v>24794</v>
          </cell>
          <cell r="E25">
            <v>6851</v>
          </cell>
          <cell r="F25">
            <v>1296</v>
          </cell>
        </row>
        <row r="31">
          <cell r="B31">
            <v>197</v>
          </cell>
          <cell r="C31">
            <v>182</v>
          </cell>
          <cell r="D31">
            <v>280</v>
          </cell>
          <cell r="E31">
            <v>322</v>
          </cell>
          <cell r="F31">
            <v>53</v>
          </cell>
        </row>
        <row r="34">
          <cell r="B34">
            <v>292</v>
          </cell>
          <cell r="C34">
            <v>229</v>
          </cell>
          <cell r="D34">
            <v>622</v>
          </cell>
          <cell r="E34">
            <v>335</v>
          </cell>
          <cell r="F34">
            <v>110</v>
          </cell>
          <cell r="H34">
            <v>1541</v>
          </cell>
        </row>
        <row r="37">
          <cell r="B37">
            <v>46</v>
          </cell>
          <cell r="C37">
            <v>99</v>
          </cell>
          <cell r="D37">
            <v>657</v>
          </cell>
          <cell r="E37">
            <v>13</v>
          </cell>
          <cell r="F37">
            <v>32</v>
          </cell>
          <cell r="H37">
            <v>847</v>
          </cell>
        </row>
        <row r="47">
          <cell r="B47">
            <v>4030</v>
          </cell>
          <cell r="C47">
            <v>269</v>
          </cell>
          <cell r="D47">
            <v>3327</v>
          </cell>
          <cell r="E47">
            <v>12232</v>
          </cell>
          <cell r="F47">
            <v>386</v>
          </cell>
          <cell r="H47">
            <v>13559</v>
          </cell>
        </row>
        <row r="57">
          <cell r="H57">
            <v>1036</v>
          </cell>
        </row>
        <row r="63">
          <cell r="B63">
            <v>10023</v>
          </cell>
          <cell r="C63">
            <v>3971</v>
          </cell>
          <cell r="D63">
            <v>24189</v>
          </cell>
          <cell r="E63">
            <v>8550</v>
          </cell>
          <cell r="F63">
            <v>1317</v>
          </cell>
        </row>
        <row r="69">
          <cell r="B69">
            <v>346</v>
          </cell>
          <cell r="C69">
            <v>138</v>
          </cell>
          <cell r="D69">
            <v>968</v>
          </cell>
          <cell r="E69">
            <v>132</v>
          </cell>
          <cell r="F69">
            <v>27</v>
          </cell>
        </row>
        <row r="72">
          <cell r="B72">
            <v>458</v>
          </cell>
          <cell r="C72">
            <v>186</v>
          </cell>
          <cell r="D72">
            <v>1286</v>
          </cell>
          <cell r="E72">
            <v>145</v>
          </cell>
          <cell r="F72">
            <v>70</v>
          </cell>
          <cell r="H72">
            <v>2230</v>
          </cell>
        </row>
        <row r="75">
          <cell r="B75">
            <v>74</v>
          </cell>
          <cell r="C75">
            <v>75</v>
          </cell>
          <cell r="D75">
            <v>574</v>
          </cell>
          <cell r="E75">
            <v>24</v>
          </cell>
          <cell r="F75">
            <v>33</v>
          </cell>
          <cell r="H75">
            <v>780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"/>
      <sheetName val="BIPMETAWS"/>
      <sheetName val="Settings"/>
      <sheetName val="segmenty prez CY"/>
      <sheetName val="segmenty prez PY"/>
      <sheetName val="działalność zaniech."/>
      <sheetName val="segmenty"/>
      <sheetName val="1_1"/>
      <sheetName val="18"/>
      <sheetName val="Nakłady inwestycyjne TW"/>
      <sheetName val="RZS3 FIN_2"/>
      <sheetName val="BZ"/>
      <sheetName val="2_5"/>
      <sheetName val="BD1"/>
      <sheetName val="BD2"/>
      <sheetName val="BD3"/>
      <sheetName val="BD4"/>
      <sheetName val="BD5"/>
      <sheetName val="BD6"/>
      <sheetName val="WT_1_1"/>
      <sheetName val="BD7"/>
      <sheetName val="WT_2_5"/>
      <sheetName val="BD8"/>
      <sheetName val="Pochodne wycena"/>
      <sheetName val="BD9"/>
      <sheetName val="EUA"/>
      <sheetName val="MSSF5 RZS"/>
      <sheetName val="BD10"/>
      <sheetName val="działalność zaniechana"/>
      <sheetName val="BD11"/>
      <sheetName val="2_5 2021"/>
      <sheetName val="BD12"/>
      <sheetName val="BD14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>
            <v>13325</v>
          </cell>
          <cell r="C9">
            <v>750</v>
          </cell>
          <cell r="D9">
            <v>11734</v>
          </cell>
          <cell r="E9">
            <v>35803</v>
          </cell>
          <cell r="F9">
            <v>1542</v>
          </cell>
          <cell r="H9">
            <v>42657</v>
          </cell>
        </row>
        <row r="19">
          <cell r="H19">
            <v>1678</v>
          </cell>
        </row>
        <row r="25">
          <cell r="B25">
            <v>10023</v>
          </cell>
          <cell r="C25">
            <v>3971</v>
          </cell>
          <cell r="D25">
            <v>24189</v>
          </cell>
          <cell r="E25">
            <v>8550</v>
          </cell>
          <cell r="F25">
            <v>1317</v>
          </cell>
        </row>
        <row r="31">
          <cell r="B31">
            <v>347</v>
          </cell>
          <cell r="C31">
            <v>261</v>
          </cell>
          <cell r="D31">
            <v>2197</v>
          </cell>
          <cell r="E31">
            <v>522</v>
          </cell>
          <cell r="F31">
            <v>96</v>
          </cell>
        </row>
        <row r="34">
          <cell r="B34">
            <v>1377</v>
          </cell>
          <cell r="C34">
            <v>431</v>
          </cell>
          <cell r="D34">
            <v>3528</v>
          </cell>
          <cell r="E34">
            <v>568</v>
          </cell>
          <cell r="F34">
            <v>273</v>
          </cell>
          <cell r="H34">
            <v>6145</v>
          </cell>
        </row>
        <row r="37">
          <cell r="B37">
            <v>568</v>
          </cell>
          <cell r="C37">
            <v>593</v>
          </cell>
          <cell r="D37">
            <v>2762</v>
          </cell>
          <cell r="E37">
            <v>109</v>
          </cell>
          <cell r="F37">
            <v>332</v>
          </cell>
          <cell r="H37">
            <v>4364</v>
          </cell>
        </row>
        <row r="48">
          <cell r="B48">
            <v>11126</v>
          </cell>
          <cell r="C48">
            <v>909</v>
          </cell>
          <cell r="D48">
            <v>7611</v>
          </cell>
          <cell r="E48">
            <v>35491</v>
          </cell>
          <cell r="F48">
            <v>1428</v>
          </cell>
          <cell r="I48">
            <v>2680</v>
          </cell>
          <cell r="J48">
            <v>-1650</v>
          </cell>
        </row>
        <row r="64">
          <cell r="B64">
            <v>10157</v>
          </cell>
          <cell r="C64">
            <v>2910</v>
          </cell>
          <cell r="D64">
            <v>22174</v>
          </cell>
          <cell r="E64">
            <v>6701</v>
          </cell>
          <cell r="F64">
            <v>1156</v>
          </cell>
        </row>
        <row r="70">
          <cell r="B70">
            <v>-1307</v>
          </cell>
          <cell r="C70">
            <v>292</v>
          </cell>
          <cell r="D70">
            <v>1679</v>
          </cell>
          <cell r="E70">
            <v>550</v>
          </cell>
          <cell r="F70">
            <v>163</v>
          </cell>
          <cell r="I70">
            <v>490</v>
          </cell>
          <cell r="J70">
            <v>-440</v>
          </cell>
        </row>
        <row r="73">
          <cell r="B73">
            <v>-779</v>
          </cell>
          <cell r="C73">
            <v>476</v>
          </cell>
          <cell r="D73">
            <v>2939</v>
          </cell>
          <cell r="E73">
            <v>594</v>
          </cell>
          <cell r="F73">
            <v>298</v>
          </cell>
          <cell r="I73">
            <v>781</v>
          </cell>
          <cell r="J73">
            <v>20</v>
          </cell>
        </row>
        <row r="76">
          <cell r="B76">
            <v>383</v>
          </cell>
          <cell r="C76">
            <v>459</v>
          </cell>
          <cell r="D76">
            <v>2137</v>
          </cell>
          <cell r="E76">
            <v>75</v>
          </cell>
          <cell r="F76">
            <v>391</v>
          </cell>
          <cell r="I76">
            <v>517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"/>
      <sheetName val="BIPMETAWS"/>
      <sheetName val="Settings"/>
      <sheetName val="segmenty prez"/>
      <sheetName val="segmenty PY"/>
      <sheetName val="segmenty"/>
      <sheetName val="segmenty 3 m-ce PREZ"/>
      <sheetName val="segmenty 3 m-ce PY"/>
      <sheetName val="segmenty 3 m-ce"/>
      <sheetName val="Działalność zaniech."/>
      <sheetName val="1_1"/>
      <sheetName val="18"/>
      <sheetName val="Nakłady inwesycyjne TW"/>
      <sheetName val="RZS3 FIN_2"/>
      <sheetName val="BZ"/>
      <sheetName val="2_5"/>
      <sheetName val="BD1"/>
      <sheetName val="BD2"/>
      <sheetName val="BD3"/>
      <sheetName val="BD4"/>
      <sheetName val="BD5"/>
      <sheetName val="BD6"/>
      <sheetName val="WT_1_1"/>
      <sheetName val="BD7"/>
      <sheetName val="WT_2_5"/>
      <sheetName val="BD8"/>
      <sheetName val="Pochodne wycena"/>
      <sheetName val="BD9"/>
      <sheetName val="EUA"/>
      <sheetName val="MSSF5 RZS"/>
      <sheetName val="BD10"/>
      <sheetName val="Nakłady inwestycyjne TWD 3Q2022"/>
      <sheetName val="działalność zaniechana"/>
      <sheetName val="BD11"/>
      <sheetName val="2_5 3Q2022"/>
      <sheetName val="BD12"/>
      <sheetName val="BD13"/>
    </sheetNames>
    <sheetDataSet>
      <sheetData sheetId="0"/>
      <sheetData sheetId="1"/>
      <sheetData sheetId="2"/>
      <sheetData sheetId="3">
        <row r="9">
          <cell r="H9">
            <v>32442</v>
          </cell>
        </row>
      </sheetData>
      <sheetData sheetId="4"/>
      <sheetData sheetId="5">
        <row r="9">
          <cell r="B9">
            <v>9514</v>
          </cell>
          <cell r="C9">
            <v>561</v>
          </cell>
          <cell r="D9">
            <v>8964</v>
          </cell>
          <cell r="E9">
            <v>27270</v>
          </cell>
          <cell r="F9">
            <v>1082</v>
          </cell>
          <cell r="H9">
            <v>32442</v>
          </cell>
        </row>
        <row r="19">
          <cell r="H19">
            <v>2263</v>
          </cell>
        </row>
        <row r="25">
          <cell r="B25">
            <v>10231</v>
          </cell>
          <cell r="C25">
            <v>3527</v>
          </cell>
          <cell r="D25">
            <v>23631</v>
          </cell>
          <cell r="E25">
            <v>8842</v>
          </cell>
          <cell r="F25">
            <v>1130</v>
          </cell>
        </row>
        <row r="31">
          <cell r="B31">
            <v>735</v>
          </cell>
          <cell r="C31">
            <v>179</v>
          </cell>
          <cell r="D31">
            <v>2443</v>
          </cell>
          <cell r="E31">
            <v>414</v>
          </cell>
          <cell r="F31">
            <v>37</v>
          </cell>
        </row>
        <row r="34">
          <cell r="B34">
            <v>1085</v>
          </cell>
          <cell r="C34">
            <v>321</v>
          </cell>
          <cell r="D34">
            <v>3426</v>
          </cell>
          <cell r="E34">
            <v>456</v>
          </cell>
          <cell r="F34">
            <v>168</v>
          </cell>
          <cell r="H34">
            <v>5471</v>
          </cell>
        </row>
        <row r="37">
          <cell r="B37">
            <v>382</v>
          </cell>
          <cell r="C37">
            <v>396</v>
          </cell>
          <cell r="D37">
            <v>1896</v>
          </cell>
          <cell r="E37">
            <v>70</v>
          </cell>
          <cell r="F37">
            <v>143</v>
          </cell>
          <cell r="H37">
            <v>2887</v>
          </cell>
        </row>
        <row r="48">
          <cell r="B48">
            <v>7672</v>
          </cell>
          <cell r="C48">
            <v>746</v>
          </cell>
          <cell r="D48">
            <v>5731</v>
          </cell>
          <cell r="E48">
            <v>26311</v>
          </cell>
          <cell r="F48">
            <v>1055</v>
          </cell>
          <cell r="I48">
            <v>1639</v>
          </cell>
          <cell r="J48">
            <v>-1093</v>
          </cell>
        </row>
        <row r="64">
          <cell r="B64">
            <v>10157</v>
          </cell>
          <cell r="C64">
            <v>2910</v>
          </cell>
          <cell r="D64">
            <v>22174</v>
          </cell>
          <cell r="E64">
            <v>6701</v>
          </cell>
          <cell r="F64">
            <v>1156</v>
          </cell>
        </row>
        <row r="70">
          <cell r="B70">
            <v>-1003</v>
          </cell>
          <cell r="C70">
            <v>272</v>
          </cell>
          <cell r="D70">
            <v>1415</v>
          </cell>
          <cell r="E70">
            <v>476</v>
          </cell>
          <cell r="F70">
            <v>71</v>
          </cell>
          <cell r="I70">
            <v>57</v>
          </cell>
          <cell r="J70">
            <v>13</v>
          </cell>
        </row>
        <row r="73">
          <cell r="B73">
            <v>-668</v>
          </cell>
          <cell r="C73">
            <v>382</v>
          </cell>
          <cell r="D73">
            <v>2349</v>
          </cell>
          <cell r="E73">
            <v>509</v>
          </cell>
          <cell r="F73">
            <v>169</v>
          </cell>
          <cell r="I73">
            <v>271</v>
          </cell>
          <cell r="J73">
            <v>13</v>
          </cell>
        </row>
        <row r="76">
          <cell r="B76">
            <v>268</v>
          </cell>
          <cell r="C76">
            <v>294</v>
          </cell>
          <cell r="D76">
            <v>1438</v>
          </cell>
          <cell r="E76">
            <v>56</v>
          </cell>
          <cell r="F76">
            <v>232</v>
          </cell>
          <cell r="I76">
            <v>311</v>
          </cell>
        </row>
      </sheetData>
      <sheetData sheetId="6">
        <row r="9">
          <cell r="B9">
            <v>2646</v>
          </cell>
          <cell r="C9">
            <v>121</v>
          </cell>
          <cell r="D9">
            <v>2846</v>
          </cell>
          <cell r="E9">
            <v>6349</v>
          </cell>
          <cell r="F9">
            <v>357</v>
          </cell>
        </row>
        <row r="12">
          <cell r="B12">
            <v>9</v>
          </cell>
          <cell r="C12">
            <v>-1</v>
          </cell>
          <cell r="D12">
            <v>761</v>
          </cell>
          <cell r="E12">
            <v>-104</v>
          </cell>
          <cell r="F12">
            <v>7</v>
          </cell>
        </row>
        <row r="16">
          <cell r="B16">
            <v>128</v>
          </cell>
          <cell r="C16">
            <v>45</v>
          </cell>
          <cell r="D16">
            <v>1096</v>
          </cell>
          <cell r="E16">
            <v>-91</v>
          </cell>
          <cell r="F16">
            <v>53</v>
          </cell>
        </row>
        <row r="25">
          <cell r="B25">
            <v>187</v>
          </cell>
          <cell r="C25">
            <v>86</v>
          </cell>
          <cell r="D25">
            <v>676</v>
          </cell>
          <cell r="E25">
            <v>24</v>
          </cell>
          <cell r="F25">
            <v>49</v>
          </cell>
        </row>
        <row r="39">
          <cell r="B39">
            <v>2253</v>
          </cell>
          <cell r="C39">
            <v>178</v>
          </cell>
          <cell r="D39">
            <v>1812</v>
          </cell>
          <cell r="E39">
            <v>8058</v>
          </cell>
          <cell r="F39">
            <v>351</v>
          </cell>
          <cell r="K39">
            <v>123</v>
          </cell>
        </row>
        <row r="42">
          <cell r="B42">
            <v>-751</v>
          </cell>
          <cell r="C42">
            <v>50</v>
          </cell>
          <cell r="D42">
            <v>323</v>
          </cell>
          <cell r="E42">
            <v>457</v>
          </cell>
          <cell r="F42">
            <v>12</v>
          </cell>
          <cell r="K42">
            <v>-75</v>
          </cell>
        </row>
        <row r="46">
          <cell r="B46">
            <v>-638</v>
          </cell>
          <cell r="C46">
            <v>86</v>
          </cell>
          <cell r="D46">
            <v>640</v>
          </cell>
          <cell r="E46">
            <v>468</v>
          </cell>
          <cell r="F46">
            <v>44</v>
          </cell>
          <cell r="K46">
            <v>-47</v>
          </cell>
        </row>
        <row r="55">
          <cell r="B55">
            <v>151</v>
          </cell>
          <cell r="C55">
            <v>201</v>
          </cell>
          <cell r="D55">
            <v>560</v>
          </cell>
          <cell r="E55">
            <v>20</v>
          </cell>
          <cell r="F55">
            <v>42</v>
          </cell>
          <cell r="I55">
            <v>144</v>
          </cell>
        </row>
      </sheetData>
      <sheetData sheetId="7"/>
      <sheetData sheetId="8">
        <row r="69">
          <cell r="H69">
            <v>9160</v>
          </cell>
        </row>
        <row r="79">
          <cell r="H79">
            <v>387</v>
          </cell>
        </row>
        <row r="84">
          <cell r="H84">
            <v>1197</v>
          </cell>
        </row>
        <row r="87">
          <cell r="H87">
            <v>1022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"/>
      <sheetName val="BIPMETAWS"/>
      <sheetName val="Settings"/>
      <sheetName val="segmenty prez"/>
      <sheetName val="segmenty"/>
      <sheetName val="segmenty 3 m-ce PREZ"/>
      <sheetName val="segmenty 3 m-ce"/>
      <sheetName val="1_1"/>
      <sheetName val="18"/>
      <sheetName val="Nakłady inwesycyjne TW"/>
      <sheetName val="RZS3 FIN_2"/>
      <sheetName val="BZ"/>
      <sheetName val="2_5"/>
      <sheetName val="BD1"/>
      <sheetName val="BD2"/>
      <sheetName val="BD3"/>
      <sheetName val="BD4"/>
      <sheetName val="BD5"/>
      <sheetName val="BD6"/>
      <sheetName val="WT_1_1"/>
      <sheetName val="BD7"/>
      <sheetName val="WT_2_5"/>
      <sheetName val="BD8"/>
      <sheetName val="Pochodne wycena"/>
      <sheetName val="BD9"/>
      <sheetName val="EUA"/>
      <sheetName val="MSSF5 RZS"/>
      <sheetName val="BD10"/>
      <sheetName val="Nakłady inwestycyjne TWD 2Q2022"/>
      <sheetName val="działalność zaniechana"/>
      <sheetName val="BD11"/>
      <sheetName val="2_5 2Q2022"/>
      <sheetName val="BD12"/>
      <sheetName val="BD13"/>
    </sheetNames>
    <sheetDataSet>
      <sheetData sheetId="0"/>
      <sheetData sheetId="1"/>
      <sheetData sheetId="2"/>
      <sheetData sheetId="3"/>
      <sheetData sheetId="4">
        <row r="9">
          <cell r="B9">
            <v>6868</v>
          </cell>
          <cell r="C9">
            <v>440</v>
          </cell>
          <cell r="D9">
            <v>6118</v>
          </cell>
          <cell r="E9">
            <v>20921</v>
          </cell>
          <cell r="F9">
            <v>725</v>
          </cell>
          <cell r="H9">
            <v>23282</v>
          </cell>
        </row>
        <row r="19">
          <cell r="H19">
            <v>1876</v>
          </cell>
        </row>
        <row r="25">
          <cell r="B25">
            <v>10370</v>
          </cell>
          <cell r="C25">
            <v>3271</v>
          </cell>
          <cell r="D25">
            <v>23243</v>
          </cell>
          <cell r="E25">
            <v>8069</v>
          </cell>
          <cell r="F25">
            <v>1147</v>
          </cell>
        </row>
        <row r="31">
          <cell r="B31">
            <v>726</v>
          </cell>
          <cell r="C31">
            <v>180</v>
          </cell>
          <cell r="D31">
            <v>1682</v>
          </cell>
          <cell r="E31">
            <v>518</v>
          </cell>
          <cell r="F31">
            <v>30</v>
          </cell>
        </row>
        <row r="34">
          <cell r="B34">
            <v>957</v>
          </cell>
          <cell r="C34">
            <v>276</v>
          </cell>
          <cell r="D34">
            <v>2330</v>
          </cell>
          <cell r="E34">
            <v>547</v>
          </cell>
          <cell r="F34">
            <v>115</v>
          </cell>
          <cell r="H34">
            <v>4274</v>
          </cell>
        </row>
        <row r="37">
          <cell r="B37">
            <v>195</v>
          </cell>
          <cell r="C37">
            <v>310</v>
          </cell>
          <cell r="D37">
            <v>1220</v>
          </cell>
          <cell r="E37">
            <v>46</v>
          </cell>
          <cell r="F37">
            <v>94</v>
          </cell>
          <cell r="H37">
            <v>1865</v>
          </cell>
        </row>
        <row r="48">
          <cell r="B48">
            <v>5419</v>
          </cell>
          <cell r="C48">
            <v>568</v>
          </cell>
          <cell r="D48">
            <v>3919</v>
          </cell>
          <cell r="E48">
            <v>18257</v>
          </cell>
          <cell r="F48">
            <v>704</v>
          </cell>
          <cell r="I48">
            <v>1195</v>
          </cell>
          <cell r="J48">
            <v>-772</v>
          </cell>
          <cell r="K48">
            <v>18124</v>
          </cell>
        </row>
        <row r="57">
          <cell r="K57">
            <v>629</v>
          </cell>
        </row>
        <row r="63">
          <cell r="B63">
            <v>10157</v>
          </cell>
          <cell r="C63">
            <v>2910</v>
          </cell>
          <cell r="D63">
            <v>22174</v>
          </cell>
          <cell r="E63">
            <v>6701</v>
          </cell>
          <cell r="F63">
            <v>1156</v>
          </cell>
          <cell r="I63">
            <v>0</v>
          </cell>
          <cell r="J63">
            <v>0</v>
          </cell>
        </row>
        <row r="69">
          <cell r="B69">
            <v>-252</v>
          </cell>
          <cell r="C69">
            <v>222</v>
          </cell>
          <cell r="D69">
            <v>1092</v>
          </cell>
          <cell r="E69">
            <v>19</v>
          </cell>
          <cell r="F69">
            <v>59</v>
          </cell>
          <cell r="I69">
            <v>138</v>
          </cell>
          <cell r="J69">
            <v>7</v>
          </cell>
        </row>
        <row r="72">
          <cell r="B72">
            <v>-30</v>
          </cell>
          <cell r="C72">
            <v>296</v>
          </cell>
          <cell r="D72">
            <v>1709</v>
          </cell>
          <cell r="E72">
            <v>41</v>
          </cell>
          <cell r="F72">
            <v>125</v>
          </cell>
          <cell r="I72">
            <v>324</v>
          </cell>
          <cell r="J72">
            <v>7</v>
          </cell>
          <cell r="K72">
            <v>2351</v>
          </cell>
        </row>
        <row r="75">
          <cell r="B75">
            <v>117</v>
          </cell>
          <cell r="C75">
            <v>93</v>
          </cell>
          <cell r="D75">
            <v>878</v>
          </cell>
          <cell r="E75">
            <v>36</v>
          </cell>
          <cell r="F75">
            <v>190</v>
          </cell>
          <cell r="I75">
            <v>167</v>
          </cell>
          <cell r="J75">
            <v>0</v>
          </cell>
          <cell r="K75">
            <v>1481</v>
          </cell>
        </row>
      </sheetData>
      <sheetData sheetId="5">
        <row r="25">
          <cell r="B25">
            <v>121</v>
          </cell>
          <cell r="C25">
            <v>235</v>
          </cell>
          <cell r="D25">
            <v>646</v>
          </cell>
          <cell r="E25">
            <v>22</v>
          </cell>
          <cell r="F25">
            <v>61</v>
          </cell>
        </row>
        <row r="54">
          <cell r="B54">
            <v>53</v>
          </cell>
          <cell r="C54">
            <v>72</v>
          </cell>
          <cell r="D54">
            <v>472</v>
          </cell>
          <cell r="E54">
            <v>22</v>
          </cell>
          <cell r="F54">
            <v>154</v>
          </cell>
          <cell r="I54">
            <v>98</v>
          </cell>
        </row>
      </sheetData>
      <sheetData sheetId="6">
        <row r="69">
          <cell r="B69">
            <v>2838</v>
          </cell>
          <cell r="C69">
            <v>171</v>
          </cell>
          <cell r="D69">
            <v>2791</v>
          </cell>
          <cell r="E69">
            <v>8689</v>
          </cell>
          <cell r="F69">
            <v>339</v>
          </cell>
        </row>
        <row r="81">
          <cell r="B81">
            <v>380</v>
          </cell>
          <cell r="C81">
            <v>42</v>
          </cell>
          <cell r="D81">
            <v>714</v>
          </cell>
          <cell r="E81">
            <v>386</v>
          </cell>
          <cell r="F81">
            <v>3</v>
          </cell>
        </row>
        <row r="84">
          <cell r="B84">
            <v>499</v>
          </cell>
          <cell r="C84">
            <v>90</v>
          </cell>
          <cell r="D84">
            <v>1044</v>
          </cell>
          <cell r="E84">
            <v>402</v>
          </cell>
          <cell r="F84">
            <v>45</v>
          </cell>
        </row>
        <row r="101">
          <cell r="B101">
            <v>2363</v>
          </cell>
          <cell r="C101">
            <v>254</v>
          </cell>
          <cell r="D101">
            <v>1896</v>
          </cell>
          <cell r="E101">
            <v>7670</v>
          </cell>
          <cell r="F101">
            <v>345</v>
          </cell>
          <cell r="I101">
            <v>637</v>
          </cell>
          <cell r="J101">
            <v>-407</v>
          </cell>
        </row>
        <row r="112">
          <cell r="B112">
            <v>-1038</v>
          </cell>
          <cell r="C112">
            <v>68</v>
          </cell>
          <cell r="D112">
            <v>531</v>
          </cell>
          <cell r="E112">
            <v>132</v>
          </cell>
          <cell r="F112">
            <v>30</v>
          </cell>
          <cell r="I112">
            <v>73</v>
          </cell>
          <cell r="J112">
            <v>3</v>
          </cell>
        </row>
        <row r="115">
          <cell r="B115">
            <v>-925</v>
          </cell>
          <cell r="C115">
            <v>110</v>
          </cell>
          <cell r="D115">
            <v>845</v>
          </cell>
          <cell r="E115">
            <v>144</v>
          </cell>
          <cell r="F115">
            <v>65</v>
          </cell>
          <cell r="I115">
            <v>207</v>
          </cell>
          <cell r="J115">
            <v>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"/>
      <sheetName val="BIPMETAWS"/>
      <sheetName val="Settings"/>
      <sheetName val="segmenty"/>
      <sheetName val="1_1"/>
      <sheetName val="18"/>
      <sheetName val="Nakłady inwesycyjne TW"/>
      <sheetName val="RZS3 FIN_2"/>
      <sheetName val="BZ"/>
      <sheetName val="2_5"/>
      <sheetName val="BD1"/>
      <sheetName val="BD2"/>
      <sheetName val="BD3"/>
      <sheetName val="BD4"/>
      <sheetName val="BD5"/>
      <sheetName val="BD6"/>
      <sheetName val="WT_1_1"/>
      <sheetName val="BD7"/>
      <sheetName val="WT_2_5"/>
      <sheetName val="BD8"/>
      <sheetName val="Pochodne wycena"/>
      <sheetName val="BD9"/>
      <sheetName val="EUA"/>
      <sheetName val="MSSF5 RZS"/>
      <sheetName val="BD10"/>
      <sheetName val="Nakłady inwestycyjne TWD 1Q2022"/>
      <sheetName val="działalność zaniechana"/>
      <sheetName val="BD11"/>
      <sheetName val="2_5 1Q2022"/>
      <sheetName val="BD12"/>
      <sheetName val="BD14"/>
    </sheetNames>
    <sheetDataSet>
      <sheetData sheetId="0"/>
      <sheetData sheetId="1"/>
      <sheetData sheetId="2"/>
      <sheetData sheetId="3">
        <row r="9">
          <cell r="B9">
            <v>4030</v>
          </cell>
          <cell r="C9">
            <v>269</v>
          </cell>
          <cell r="D9">
            <v>3327</v>
          </cell>
          <cell r="E9">
            <v>12232</v>
          </cell>
          <cell r="F9">
            <v>386</v>
          </cell>
          <cell r="H9">
            <v>13559</v>
          </cell>
        </row>
        <row r="19">
          <cell r="H19">
            <v>1036</v>
          </cell>
        </row>
        <row r="25">
          <cell r="B25">
            <v>10625</v>
          </cell>
          <cell r="C25">
            <v>2960</v>
          </cell>
          <cell r="D25">
            <v>23123</v>
          </cell>
          <cell r="E25">
            <v>10826</v>
          </cell>
          <cell r="F25">
            <v>1144</v>
          </cell>
        </row>
        <row r="31">
          <cell r="B31">
            <v>346</v>
          </cell>
          <cell r="C31">
            <v>138</v>
          </cell>
          <cell r="D31">
            <v>968</v>
          </cell>
          <cell r="E31">
            <v>132</v>
          </cell>
          <cell r="F31">
            <v>27</v>
          </cell>
        </row>
        <row r="34">
          <cell r="B34">
            <v>458</v>
          </cell>
          <cell r="C34">
            <v>186</v>
          </cell>
          <cell r="D34">
            <v>1286</v>
          </cell>
          <cell r="E34">
            <v>145</v>
          </cell>
          <cell r="F34">
            <v>70</v>
          </cell>
          <cell r="H34">
            <v>2230</v>
          </cell>
        </row>
        <row r="37">
          <cell r="H37">
            <v>780</v>
          </cell>
        </row>
        <row r="48">
          <cell r="B48">
            <v>3056</v>
          </cell>
          <cell r="C48">
            <v>314</v>
          </cell>
          <cell r="D48">
            <v>2023</v>
          </cell>
          <cell r="E48">
            <v>10587</v>
          </cell>
          <cell r="F48">
            <v>359</v>
          </cell>
          <cell r="I48">
            <v>558</v>
          </cell>
          <cell r="J48">
            <v>-365</v>
          </cell>
          <cell r="K48">
            <v>9813</v>
          </cell>
        </row>
        <row r="57">
          <cell r="K57">
            <v>901</v>
          </cell>
        </row>
        <row r="63">
          <cell r="B63">
            <v>10157</v>
          </cell>
          <cell r="C63">
            <v>2910</v>
          </cell>
          <cell r="D63">
            <v>22174</v>
          </cell>
          <cell r="E63">
            <v>6701</v>
          </cell>
          <cell r="F63">
            <v>1156</v>
          </cell>
          <cell r="I63">
            <v>0</v>
          </cell>
          <cell r="J63">
            <v>0</v>
          </cell>
        </row>
        <row r="69">
          <cell r="B69">
            <v>786</v>
          </cell>
          <cell r="C69">
            <v>154</v>
          </cell>
          <cell r="D69">
            <v>561</v>
          </cell>
          <cell r="E69">
            <v>-113</v>
          </cell>
          <cell r="F69">
            <v>29</v>
          </cell>
          <cell r="I69">
            <v>65</v>
          </cell>
          <cell r="J69">
            <v>4</v>
          </cell>
        </row>
        <row r="71">
          <cell r="B71">
            <v>895</v>
          </cell>
          <cell r="C71">
            <v>186</v>
          </cell>
          <cell r="D71">
            <v>864</v>
          </cell>
          <cell r="E71">
            <v>-103</v>
          </cell>
          <cell r="F71">
            <v>60</v>
          </cell>
          <cell r="I71">
            <v>117</v>
          </cell>
          <cell r="J71">
            <v>4</v>
          </cell>
          <cell r="K71">
            <v>1955</v>
          </cell>
        </row>
        <row r="74">
          <cell r="K74">
            <v>610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"/>
      <sheetName val="BIPMETAWS"/>
      <sheetName val="Settings"/>
      <sheetName val="segmenty prez"/>
      <sheetName val="segmenty"/>
      <sheetName val="segmenty 3 m-ce PREZ"/>
      <sheetName val="segmenty 3 m-ce"/>
      <sheetName val="1_1"/>
      <sheetName val="18"/>
      <sheetName val="Nakłady inwesycyjne TW"/>
      <sheetName val="OSK od nal. TPE"/>
      <sheetName val="przekształcenie Veolia"/>
      <sheetName val="RZS3 FIN_2"/>
      <sheetName val="BZ"/>
      <sheetName val="2_5"/>
      <sheetName val="BD1"/>
      <sheetName val="BD2"/>
      <sheetName val="BD3"/>
      <sheetName val="BD4"/>
      <sheetName val="BD5"/>
      <sheetName val="BD6"/>
      <sheetName val="WT_1_1"/>
      <sheetName val="BD7"/>
      <sheetName val="WT_2_5"/>
      <sheetName val="BD8"/>
      <sheetName val="Pochodne wycena"/>
      <sheetName val="BD9"/>
      <sheetName val="EUA"/>
      <sheetName val="MSSF5 RZS"/>
      <sheetName val="Nakłady inwestycyjne TWD 2Q2022"/>
      <sheetName val="BD10"/>
      <sheetName val="BD11"/>
    </sheetNames>
    <sheetDataSet>
      <sheetData sheetId="0" refreshError="1"/>
      <sheetData sheetId="1" refreshError="1"/>
      <sheetData sheetId="2" refreshError="1"/>
      <sheetData sheetId="3">
        <row r="9">
          <cell r="H9">
            <v>-7740</v>
          </cell>
        </row>
        <row r="12">
          <cell r="H12">
            <v>-88</v>
          </cell>
        </row>
        <row r="16">
          <cell r="H16">
            <v>-91</v>
          </cell>
        </row>
        <row r="45">
          <cell r="H45">
            <v>-11873</v>
          </cell>
        </row>
        <row r="48">
          <cell r="H48">
            <v>49</v>
          </cell>
        </row>
        <row r="52">
          <cell r="H52">
            <v>49</v>
          </cell>
        </row>
      </sheetData>
      <sheetData sheetId="4">
        <row r="25">
          <cell r="H25">
            <v>1333</v>
          </cell>
        </row>
        <row r="63">
          <cell r="H63">
            <v>1748</v>
          </cell>
        </row>
      </sheetData>
      <sheetData sheetId="5">
        <row r="9">
          <cell r="H9">
            <v>-3343</v>
          </cell>
        </row>
        <row r="12">
          <cell r="H12">
            <v>-42</v>
          </cell>
        </row>
        <row r="16">
          <cell r="H16">
            <v>-44</v>
          </cell>
        </row>
        <row r="38">
          <cell r="H38">
            <v>-5145</v>
          </cell>
        </row>
        <row r="41">
          <cell r="H41">
            <v>-37</v>
          </cell>
        </row>
        <row r="45">
          <cell r="H45">
            <v>-36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NU31"/>
  <sheetViews>
    <sheetView workbookViewId="0">
      <selection activeCell="H25" sqref="H25:L26"/>
    </sheetView>
  </sheetViews>
  <sheetFormatPr defaultColWidth="9.28515625" defaultRowHeight="15"/>
  <cols>
    <col min="1" max="1" width="56" style="10" customWidth="1"/>
    <col min="2" max="2" width="19.42578125" style="10" customWidth="1"/>
    <col min="3" max="3" width="3.7109375" style="339" customWidth="1"/>
    <col min="4" max="4" width="13.7109375" style="72" customWidth="1"/>
    <col min="5" max="5" width="2.5703125" style="157" customWidth="1"/>
    <col min="6" max="6" width="13.7109375" style="339" customWidth="1"/>
    <col min="7" max="7" width="3.7109375" style="339" customWidth="1"/>
    <col min="8" max="8" width="13.7109375" style="72" customWidth="1"/>
    <col min="9" max="9" width="2.5703125" style="157" customWidth="1"/>
    <col min="10" max="10" width="13.7109375" style="72" customWidth="1"/>
    <col min="11" max="11" width="3.7109375" style="339" customWidth="1"/>
    <col min="12" max="12" width="13.7109375" style="72" customWidth="1"/>
    <col min="13" max="13" width="2.5703125" style="157" customWidth="1"/>
    <col min="14" max="14" width="13.7109375" style="339" customWidth="1"/>
    <col min="15" max="15" width="3.7109375" style="339" customWidth="1"/>
    <col min="16" max="16" width="13.7109375" style="72" customWidth="1"/>
    <col min="17" max="17" width="2.5703125" style="157" customWidth="1"/>
    <col min="18" max="18" width="13.7109375" style="72" customWidth="1"/>
    <col min="19" max="19" width="2.5703125" style="157" customWidth="1"/>
    <col min="20" max="20" width="13.7109375" style="72" customWidth="1"/>
    <col min="21" max="21" width="2.5703125" style="157" customWidth="1"/>
    <col min="22" max="22" width="13.7109375" style="339" customWidth="1"/>
    <col min="23" max="23" width="2.5703125" style="157" customWidth="1"/>
    <col min="24" max="24" width="13.7109375" style="72" customWidth="1"/>
    <col min="25" max="25" width="2.5703125" style="157" customWidth="1"/>
    <col min="26" max="26" width="13.7109375" style="339" customWidth="1"/>
    <col min="27" max="27" width="3.7109375" style="339" customWidth="1"/>
    <col min="28" max="28" width="13.7109375" style="72" customWidth="1"/>
    <col min="29" max="29" width="2.5703125" style="157" customWidth="1"/>
    <col min="30" max="30" width="13.7109375" style="339" customWidth="1"/>
    <col min="31" max="31" width="3.7109375" style="339" customWidth="1"/>
    <col min="32" max="32" width="13.7109375" style="72" customWidth="1"/>
    <col min="33" max="33" width="2.5703125" style="157" customWidth="1"/>
    <col min="34" max="34" width="13.7109375" style="339" customWidth="1"/>
    <col min="35" max="35" width="3.7109375" style="339" customWidth="1"/>
    <col min="36" max="36" width="13.7109375" style="72" customWidth="1"/>
    <col min="37" max="37" width="2.5703125" style="157" customWidth="1"/>
    <col min="38" max="38" width="13.7109375" style="339" customWidth="1"/>
    <col min="39" max="39" width="3.7109375" style="339" customWidth="1"/>
    <col min="40" max="40" width="13.7109375" style="72" customWidth="1"/>
    <col min="41" max="41" width="2.5703125" style="157" customWidth="1"/>
    <col min="42" max="42" width="13.7109375" style="339" customWidth="1"/>
    <col min="43" max="43" width="3.7109375" style="339" customWidth="1"/>
    <col min="44" max="44" width="13.7109375" style="72" customWidth="1"/>
    <col min="45" max="45" width="2.5703125" style="157" customWidth="1"/>
    <col min="46" max="46" width="13.7109375" style="339" customWidth="1"/>
    <col min="47" max="47" width="3.7109375" style="339" customWidth="1"/>
    <col min="48" max="48" width="13.7109375" style="72" customWidth="1"/>
    <col min="49" max="49" width="2.5703125" style="157" customWidth="1"/>
    <col min="50" max="50" width="13.7109375" style="339" customWidth="1"/>
    <col min="51" max="51" width="3.7109375" style="339" customWidth="1"/>
    <col min="52" max="52" width="13.7109375" style="72" customWidth="1"/>
    <col min="53" max="53" width="2.5703125" style="157" customWidth="1"/>
    <col min="54" max="54" width="13.7109375" style="339" customWidth="1"/>
    <col min="55" max="55" width="3.7109375" style="339" customWidth="1"/>
    <col min="56" max="56" width="13.7109375" style="72" customWidth="1"/>
    <col min="57" max="57" width="2.5703125" style="157" customWidth="1"/>
    <col min="58" max="58" width="13.7109375" style="339" customWidth="1"/>
    <col min="59" max="59" width="3.7109375" style="339" customWidth="1"/>
    <col min="60" max="60" width="13.7109375" style="72" customWidth="1"/>
    <col min="61" max="61" width="2.5703125" style="157" customWidth="1"/>
    <col min="62" max="62" width="13.7109375" style="339" customWidth="1"/>
    <col min="63" max="63" width="3.7109375" style="339" customWidth="1"/>
    <col min="64" max="64" width="13.7109375" style="72" customWidth="1"/>
    <col min="65" max="65" width="2.5703125" style="157" customWidth="1"/>
    <col min="66" max="66" width="13.7109375" style="339" customWidth="1"/>
    <col min="67" max="67" width="3.7109375" style="339" customWidth="1"/>
    <col min="68" max="68" width="13.7109375" style="72" customWidth="1"/>
    <col min="69" max="69" width="2.5703125" style="157" customWidth="1"/>
    <col min="70" max="70" width="13.7109375" style="339" customWidth="1"/>
    <col min="71" max="71" width="3.7109375" style="339" customWidth="1"/>
    <col min="72" max="72" width="13.7109375" style="72" customWidth="1"/>
    <col min="73" max="73" width="2.5703125" style="157" customWidth="1"/>
    <col min="74" max="74" width="13.7109375" style="339" customWidth="1"/>
    <col min="75" max="75" width="3.7109375" style="339" customWidth="1"/>
    <col min="76" max="76" width="13.7109375" style="72" customWidth="1"/>
    <col min="77" max="77" width="2.5703125" style="157" customWidth="1"/>
    <col min="78" max="78" width="13.7109375" style="339" customWidth="1"/>
    <col min="79" max="79" width="3.7109375" style="339" customWidth="1"/>
    <col min="80" max="80" width="13.7109375" style="72" customWidth="1"/>
    <col min="81" max="81" width="2.5703125" style="157" customWidth="1"/>
    <col min="82" max="82" width="13.7109375" style="339" customWidth="1"/>
    <col min="83" max="83" width="3.7109375" style="339" customWidth="1"/>
    <col min="84" max="84" width="13.7109375" style="72" customWidth="1"/>
    <col min="85" max="85" width="2.5703125" style="157" customWidth="1"/>
    <col min="86" max="86" width="13.7109375" style="339" customWidth="1"/>
    <col min="87" max="87" width="3.7109375" style="339" customWidth="1"/>
    <col min="88" max="88" width="13.7109375" style="72" customWidth="1"/>
    <col min="89" max="89" width="2.5703125" style="157" customWidth="1"/>
    <col min="90" max="90" width="13.7109375" style="339" customWidth="1"/>
    <col min="91" max="91" width="3.7109375" style="339" customWidth="1"/>
    <col min="92" max="92" width="13.7109375" style="72" customWidth="1"/>
    <col min="93" max="93" width="2.5703125" style="157" customWidth="1"/>
    <col min="94" max="94" width="13.7109375" style="339" customWidth="1"/>
    <col min="95" max="95" width="3.7109375" style="339" customWidth="1"/>
    <col min="96" max="96" width="13.7109375" style="72" customWidth="1"/>
    <col min="97" max="97" width="2.5703125" style="157" customWidth="1"/>
    <col min="98" max="98" width="13.7109375" style="339" customWidth="1"/>
    <col min="99" max="99" width="3.7109375" style="339" customWidth="1"/>
    <col min="100" max="100" width="13.7109375" style="72" customWidth="1"/>
    <col min="101" max="101" width="2.5703125" style="157" customWidth="1"/>
    <col min="102" max="102" width="13.7109375" style="339" customWidth="1"/>
    <col min="103" max="103" width="3.7109375" style="339" customWidth="1"/>
    <col min="104" max="104" width="13.7109375" style="72" customWidth="1"/>
    <col min="105" max="105" width="2.5703125" style="157" customWidth="1"/>
    <col min="106" max="106" width="13.7109375" style="339" customWidth="1"/>
    <col min="107" max="107" width="3.7109375" style="339" customWidth="1"/>
    <col min="108" max="108" width="13.7109375" style="72" customWidth="1"/>
    <col min="109" max="109" width="2.5703125" style="157" customWidth="1"/>
    <col min="110" max="110" width="13.7109375" style="339" customWidth="1"/>
    <col min="111" max="111" width="3.7109375" style="339" customWidth="1"/>
    <col min="112" max="112" width="13.7109375" style="72" customWidth="1"/>
    <col min="113" max="113" width="2.5703125" style="157" customWidth="1"/>
    <col min="114" max="114" width="13.7109375" style="339" customWidth="1"/>
    <col min="115" max="115" width="3.7109375" style="10" customWidth="1"/>
    <col min="116" max="116" width="13.7109375" style="72" customWidth="1"/>
    <col min="117" max="117" width="2.5703125" style="157" customWidth="1"/>
    <col min="118" max="118" width="13.7109375" style="339" customWidth="1"/>
    <col min="119" max="119" width="3.7109375" style="339" customWidth="1"/>
    <col min="120" max="120" width="13.7109375" style="72" customWidth="1"/>
    <col min="121" max="121" width="2.5703125" style="157" customWidth="1"/>
    <col min="122" max="122" width="13.7109375" style="339" customWidth="1"/>
    <col min="123" max="123" width="3.7109375" style="10" customWidth="1"/>
    <col min="124" max="124" width="13.7109375" style="72" customWidth="1"/>
    <col min="125" max="125" width="2.5703125" style="157" customWidth="1"/>
    <col min="126" max="126" width="13.7109375" style="339" customWidth="1"/>
    <col min="127" max="127" width="3.7109375" style="339" customWidth="1"/>
    <col min="128" max="128" width="13.7109375" style="72" customWidth="1"/>
    <col min="129" max="129" width="2.5703125" style="157" customWidth="1"/>
    <col min="130" max="130" width="13.7109375" style="339" customWidth="1"/>
    <col min="131" max="131" width="3.7109375" style="339" customWidth="1"/>
    <col min="132" max="132" width="13.7109375" style="72" customWidth="1"/>
    <col min="133" max="133" width="2.5703125" style="157" customWidth="1"/>
    <col min="134" max="134" width="13.7109375" style="339" customWidth="1"/>
    <col min="135" max="135" width="3.7109375" style="339" customWidth="1"/>
    <col min="136" max="136" width="13.7109375" style="339" customWidth="1"/>
    <col min="137" max="137" width="2" style="339" customWidth="1"/>
    <col min="138" max="138" width="13.7109375" style="339" customWidth="1"/>
    <col min="139" max="139" width="3.28515625" style="339" customWidth="1"/>
    <col min="140" max="140" width="13.7109375" style="339" customWidth="1"/>
    <col min="141" max="141" width="2.28515625" style="339" customWidth="1"/>
    <col min="142" max="142" width="13.7109375" style="339" customWidth="1"/>
    <col min="143" max="143" width="8.42578125" style="339" customWidth="1"/>
    <col min="144" max="144" width="13.7109375" style="339" customWidth="1"/>
    <col min="145" max="145" width="2" style="339" customWidth="1"/>
    <col min="146" max="146" width="13.7109375" style="339" customWidth="1"/>
    <col min="147" max="147" width="3.28515625" style="339" customWidth="1"/>
    <col min="148" max="148" width="13.7109375" style="339" customWidth="1"/>
    <col min="149" max="149" width="2.28515625" style="339" customWidth="1"/>
    <col min="150" max="150" width="13.7109375" style="339" customWidth="1"/>
    <col min="151" max="151" width="8.42578125" style="339" customWidth="1"/>
    <col min="152" max="152" width="2.28515625" style="339" customWidth="1"/>
    <col min="153" max="153" width="13.7109375" style="339" customWidth="1"/>
    <col min="154" max="154" width="2" style="339" customWidth="1"/>
    <col min="155" max="155" width="13.7109375" style="339" customWidth="1"/>
    <col min="156" max="156" width="3.28515625" style="339" customWidth="1"/>
    <col min="157" max="157" width="13.7109375" style="339" customWidth="1"/>
    <col min="158" max="158" width="2.28515625" style="339" customWidth="1"/>
    <col min="159" max="159" width="13.7109375" style="339" customWidth="1"/>
    <col min="160" max="160" width="4.28515625" style="339" customWidth="1"/>
    <col min="161" max="161" width="13.7109375" style="339" customWidth="1"/>
    <col min="162" max="162" width="2.5703125" style="339" customWidth="1"/>
    <col min="163" max="163" width="13.7109375" style="339" customWidth="1"/>
    <col min="164" max="164" width="8.42578125" style="339" customWidth="1"/>
    <col min="165" max="165" width="13.7109375" style="339" customWidth="1"/>
    <col min="166" max="166" width="2.7109375" style="339" customWidth="1"/>
    <col min="167" max="167" width="13.7109375" style="339" customWidth="1"/>
    <col min="168" max="168" width="3.42578125" style="339" customWidth="1"/>
    <col min="169" max="169" width="13.7109375" style="339" customWidth="1"/>
    <col min="170" max="170" width="2.7109375" style="339" customWidth="1"/>
    <col min="171" max="171" width="13.7109375" style="339" customWidth="1"/>
    <col min="172" max="172" width="2.28515625" style="339" customWidth="1"/>
    <col min="173" max="173" width="13.7109375" style="339" customWidth="1"/>
    <col min="174" max="174" width="2.7109375" style="339" customWidth="1"/>
    <col min="175" max="175" width="13.7109375" style="339" customWidth="1"/>
    <col min="176" max="176" width="3.42578125" style="339" customWidth="1"/>
    <col min="177" max="177" width="13.7109375" style="339" customWidth="1"/>
    <col min="178" max="178" width="2.7109375" style="339" customWidth="1"/>
    <col min="179" max="179" width="13.7109375" style="339" customWidth="1"/>
    <col min="180" max="180" width="8.7109375" style="10" customWidth="1"/>
    <col min="181" max="181" width="13.7109375" style="157" customWidth="1"/>
    <col min="182" max="182" width="2.7109375" style="157" customWidth="1"/>
    <col min="183" max="183" width="13.7109375" style="157" customWidth="1"/>
    <col min="184" max="184" width="2.28515625" style="157" customWidth="1"/>
    <col min="185" max="185" width="13.7109375" style="157" customWidth="1"/>
    <col min="186" max="186" width="2.7109375" style="157" customWidth="1"/>
    <col min="187" max="187" width="13.7109375" style="157" customWidth="1"/>
    <col min="188" max="188" width="6.5703125" style="157" customWidth="1"/>
    <col min="189" max="189" width="13.7109375" style="157" customWidth="1"/>
    <col min="190" max="190" width="2.5703125" style="157" customWidth="1"/>
    <col min="191" max="191" width="13.7109375" style="157" customWidth="1"/>
    <col min="192" max="192" width="10.7109375" style="10" customWidth="1"/>
    <col min="193" max="193" width="12.7109375" style="10" customWidth="1"/>
    <col min="194" max="194" width="2.7109375" style="10" customWidth="1"/>
    <col min="195" max="195" width="12.7109375" style="10" customWidth="1"/>
    <col min="196" max="196" width="2.7109375" style="10" customWidth="1"/>
    <col min="197" max="197" width="13.7109375" style="10" customWidth="1"/>
    <col min="198" max="198" width="2.7109375" style="10" customWidth="1"/>
    <col min="199" max="199" width="13.7109375" style="10" customWidth="1"/>
    <col min="200" max="200" width="9.5703125" style="10" customWidth="1"/>
    <col min="201" max="201" width="13.7109375" style="10" customWidth="1"/>
    <col min="202" max="202" width="2.7109375" style="10" customWidth="1"/>
    <col min="203" max="203" width="13.7109375" style="10" customWidth="1"/>
    <col min="204" max="204" width="2.7109375" style="10" customWidth="1"/>
    <col min="205" max="205" width="12.7109375" style="10" customWidth="1"/>
    <col min="206" max="206" width="2.7109375" style="10" customWidth="1"/>
    <col min="207" max="207" width="12.7109375" style="10" customWidth="1"/>
    <col min="208" max="208" width="5.7109375" style="10" customWidth="1"/>
    <col min="209" max="209" width="13.7109375" style="10" customWidth="1"/>
    <col min="210" max="210" width="2.7109375" style="10" customWidth="1"/>
    <col min="211" max="211" width="13.7109375" style="10" customWidth="1"/>
    <col min="212" max="212" width="2.7109375" style="10" customWidth="1"/>
    <col min="213" max="213" width="13.7109375" style="10" customWidth="1"/>
    <col min="214" max="214" width="2.7109375" style="10" customWidth="1"/>
    <col min="215" max="215" width="13.7109375" style="10" customWidth="1"/>
    <col min="216" max="216" width="6.7109375" style="10" customWidth="1"/>
    <col min="217" max="217" width="13.7109375" style="10" customWidth="1"/>
    <col min="218" max="218" width="2.7109375" style="10" customWidth="1"/>
    <col min="219" max="219" width="13.7109375" style="10" customWidth="1"/>
    <col min="220" max="220" width="2.7109375" style="10" customWidth="1"/>
    <col min="221" max="221" width="13.7109375" style="10" customWidth="1"/>
    <col min="222" max="222" width="2.7109375" style="10" customWidth="1"/>
    <col min="223" max="223" width="13.7109375" style="10" customWidth="1"/>
    <col min="224" max="225" width="2.7109375" style="10" customWidth="1"/>
    <col min="226" max="226" width="10.7109375" style="10" customWidth="1"/>
    <col min="227" max="227" width="2.7109375" style="10" customWidth="1"/>
    <col min="228" max="229" width="10.7109375" style="10" customWidth="1"/>
    <col min="230" max="230" width="13.28515625" style="10" customWidth="1"/>
    <col min="231" max="231" width="2.7109375" style="10" customWidth="1"/>
    <col min="232" max="232" width="12" style="10" customWidth="1"/>
    <col min="233" max="234" width="2.7109375" style="10" customWidth="1"/>
    <col min="235" max="235" width="10.7109375" style="10" customWidth="1"/>
    <col min="236" max="236" width="2.7109375" style="10" customWidth="1"/>
    <col min="237" max="237" width="10.7109375" style="10" customWidth="1"/>
    <col min="238" max="239" width="3" style="10" customWidth="1"/>
    <col min="240" max="240" width="12.7109375" style="10" customWidth="1"/>
    <col min="241" max="241" width="2.7109375" style="10" customWidth="1"/>
    <col min="242" max="242" width="12.5703125" style="10" customWidth="1"/>
    <col min="243" max="244" width="2.7109375" style="10" customWidth="1"/>
    <col min="245" max="245" width="9.28515625" style="10"/>
    <col min="246" max="246" width="2.7109375" style="10" customWidth="1"/>
    <col min="247" max="247" width="9.28515625" style="10"/>
    <col min="248" max="248" width="4.28515625" style="10" customWidth="1"/>
    <col min="249" max="249" width="9.28515625" style="10"/>
    <col min="250" max="250" width="2.7109375" style="10" customWidth="1"/>
    <col min="251" max="251" width="9.28515625" style="10"/>
    <col min="252" max="252" width="4.7109375" style="10" customWidth="1"/>
    <col min="253" max="253" width="10.28515625" style="10" bestFit="1" customWidth="1"/>
    <col min="254" max="254" width="2.7109375" style="10" customWidth="1"/>
    <col min="255" max="255" width="10.28515625" style="10" bestFit="1" customWidth="1"/>
    <col min="256" max="256" width="2.7109375" style="10" customWidth="1"/>
    <col min="257" max="257" width="10.28515625" style="10" bestFit="1" customWidth="1"/>
    <col min="258" max="258" width="2.7109375" style="10" customWidth="1"/>
    <col min="259" max="259" width="9.28515625" style="10"/>
    <col min="260" max="260" width="2.7109375" style="10" customWidth="1"/>
    <col min="261" max="261" width="10.28515625" style="10" bestFit="1" customWidth="1"/>
    <col min="262" max="262" width="2.7109375" style="10" customWidth="1"/>
    <col min="263" max="263" width="10.28515625" style="10" bestFit="1" customWidth="1"/>
    <col min="264" max="264" width="2.7109375" style="10" customWidth="1"/>
    <col min="265" max="265" width="9.28515625" style="10"/>
    <col min="266" max="266" width="2.7109375" style="10" customWidth="1"/>
    <col min="267" max="267" width="9.28515625" style="10"/>
    <col min="268" max="268" width="2.7109375" style="10" customWidth="1"/>
    <col min="269" max="269" width="9.28515625" style="10"/>
    <col min="270" max="270" width="2.7109375" style="10" customWidth="1"/>
    <col min="271" max="271" width="9.28515625" style="10"/>
    <col min="272" max="272" width="2.7109375" style="10" customWidth="1"/>
    <col min="273" max="273" width="9.28515625" style="10"/>
    <col min="274" max="274" width="2.7109375" style="10" customWidth="1"/>
    <col min="275" max="275" width="9.28515625" style="10"/>
    <col min="276" max="276" width="2.7109375" style="10" customWidth="1"/>
    <col min="277" max="277" width="9.28515625" style="10"/>
    <col min="278" max="278" width="2.7109375" style="10" customWidth="1"/>
    <col min="279" max="279" width="9.28515625" style="10"/>
    <col min="280" max="280" width="2.7109375" style="10" customWidth="1"/>
    <col min="281" max="281" width="10.28515625" style="10" bestFit="1" customWidth="1"/>
    <col min="282" max="282" width="2.7109375" style="10" customWidth="1"/>
    <col min="283" max="283" width="10.28515625" style="10" bestFit="1" customWidth="1"/>
    <col min="284" max="284" width="2.7109375" style="10" customWidth="1"/>
    <col min="285" max="285" width="9.28515625" style="10"/>
    <col min="286" max="286" width="2.7109375" style="10" customWidth="1"/>
    <col min="287" max="287" width="9.28515625" style="10"/>
    <col min="288" max="288" width="2.7109375" style="10" customWidth="1"/>
    <col min="289" max="289" width="10.28515625" style="10" bestFit="1" customWidth="1"/>
    <col min="290" max="290" width="2.7109375" style="10" customWidth="1"/>
    <col min="291" max="291" width="10.28515625" style="10" bestFit="1" customWidth="1"/>
    <col min="292" max="292" width="2.7109375" style="10" customWidth="1"/>
    <col min="293" max="293" width="9.28515625" style="10"/>
    <col min="294" max="294" width="2.7109375" style="10" customWidth="1"/>
    <col min="295" max="295" width="9.28515625" style="10"/>
    <col min="296" max="296" width="2.7109375" style="10" customWidth="1"/>
    <col min="297" max="297" width="9.28515625" style="10"/>
    <col min="298" max="298" width="2.7109375" style="10" customWidth="1"/>
    <col min="299" max="299" width="9.28515625" style="10"/>
    <col min="300" max="300" width="2.7109375" style="10" customWidth="1"/>
    <col min="301" max="301" width="9.28515625" style="10"/>
    <col min="302" max="302" width="2.7109375" style="10" customWidth="1"/>
    <col min="303" max="303" width="9.28515625" style="10"/>
    <col min="304" max="304" width="2.7109375" style="10" customWidth="1"/>
    <col min="305" max="305" width="9.28515625" style="10"/>
    <col min="306" max="306" width="2.7109375" style="10" customWidth="1"/>
    <col min="307" max="16384" width="9.28515625" style="10"/>
  </cols>
  <sheetData>
    <row r="1" spans="1:385" ht="20.25">
      <c r="A1" s="1" t="s">
        <v>376</v>
      </c>
      <c r="B1" s="2"/>
      <c r="C1" s="352"/>
      <c r="D1" s="88"/>
      <c r="E1" s="179"/>
      <c r="F1" s="352"/>
      <c r="G1" s="352"/>
      <c r="H1" s="88"/>
      <c r="I1" s="179"/>
      <c r="J1" s="88"/>
      <c r="K1" s="352"/>
      <c r="L1" s="88"/>
      <c r="M1" s="179"/>
      <c r="N1" s="352"/>
      <c r="O1" s="352"/>
      <c r="P1" s="88"/>
      <c r="Q1" s="179"/>
      <c r="R1" s="88"/>
      <c r="S1" s="179"/>
      <c r="T1" s="88"/>
      <c r="U1" s="179"/>
      <c r="V1" s="352"/>
      <c r="W1" s="179"/>
      <c r="X1" s="88"/>
      <c r="Y1" s="179"/>
      <c r="Z1" s="352"/>
      <c r="AA1" s="352"/>
      <c r="AB1" s="88"/>
      <c r="AC1" s="179"/>
      <c r="AD1" s="352"/>
      <c r="AE1" s="352"/>
      <c r="AF1" s="88"/>
      <c r="AG1" s="179"/>
      <c r="AH1" s="352"/>
      <c r="AI1" s="352"/>
      <c r="AJ1" s="88"/>
      <c r="AK1" s="179"/>
      <c r="AL1" s="352"/>
      <c r="AM1" s="352"/>
      <c r="AN1" s="88"/>
      <c r="AO1" s="179"/>
      <c r="AP1" s="352"/>
      <c r="AQ1" s="352"/>
      <c r="AR1" s="88"/>
      <c r="AS1" s="179"/>
      <c r="AT1" s="352"/>
      <c r="AU1" s="352"/>
      <c r="AV1" s="88"/>
      <c r="AW1" s="179"/>
      <c r="AX1" s="352"/>
      <c r="AY1" s="352"/>
      <c r="AZ1" s="88"/>
      <c r="BA1" s="179"/>
      <c r="BB1" s="352"/>
      <c r="BC1" s="352"/>
      <c r="BD1" s="88"/>
      <c r="BE1" s="179"/>
      <c r="BF1" s="352"/>
      <c r="BG1" s="352"/>
      <c r="BH1" s="88"/>
      <c r="BI1" s="179"/>
      <c r="BJ1" s="352"/>
      <c r="BK1" s="352"/>
      <c r="BL1" s="88"/>
      <c r="BM1" s="179"/>
      <c r="BN1" s="352"/>
      <c r="BO1" s="352"/>
      <c r="BP1" s="88"/>
      <c r="BQ1" s="179"/>
      <c r="BR1" s="352"/>
      <c r="BS1" s="352"/>
      <c r="BT1" s="88"/>
      <c r="BU1" s="179"/>
      <c r="BV1" s="352"/>
      <c r="BW1" s="352"/>
      <c r="BX1" s="88"/>
      <c r="BY1" s="179"/>
      <c r="BZ1" s="352"/>
      <c r="CA1" s="352"/>
      <c r="CB1" s="88"/>
      <c r="CC1" s="179"/>
      <c r="CD1" s="352"/>
      <c r="CE1" s="352"/>
      <c r="CF1" s="88"/>
      <c r="CG1" s="179"/>
      <c r="CH1" s="352"/>
      <c r="CI1" s="352"/>
      <c r="CJ1" s="88"/>
      <c r="CK1" s="179"/>
      <c r="CL1" s="352"/>
      <c r="CM1" s="352"/>
      <c r="CN1" s="88"/>
      <c r="CO1" s="179"/>
      <c r="CP1" s="352"/>
      <c r="CQ1" s="352"/>
      <c r="CR1" s="88"/>
      <c r="CS1" s="179"/>
      <c r="CT1" s="352"/>
      <c r="CU1" s="352"/>
      <c r="CV1" s="88"/>
      <c r="CW1" s="179"/>
      <c r="CX1" s="352"/>
      <c r="CY1" s="352"/>
      <c r="CZ1" s="88"/>
      <c r="DA1" s="179"/>
      <c r="DB1" s="352"/>
      <c r="DC1" s="352"/>
      <c r="DD1" s="88"/>
      <c r="DE1" s="179"/>
      <c r="DF1" s="352"/>
      <c r="DG1" s="352"/>
      <c r="DH1" s="88"/>
      <c r="DI1" s="179"/>
      <c r="DJ1" s="352"/>
      <c r="DK1" s="3"/>
      <c r="DL1" s="88"/>
      <c r="DM1" s="179"/>
      <c r="DN1" s="352"/>
      <c r="DO1" s="352"/>
      <c r="DP1" s="88"/>
      <c r="DQ1" s="179"/>
      <c r="DR1" s="352"/>
      <c r="DS1" s="3"/>
      <c r="DT1" s="88"/>
      <c r="DU1" s="179"/>
      <c r="DV1" s="352"/>
      <c r="DW1" s="352"/>
      <c r="DX1" s="88"/>
      <c r="DY1" s="179"/>
      <c r="DZ1" s="352"/>
      <c r="EA1" s="352"/>
      <c r="EB1" s="88"/>
      <c r="EC1" s="179"/>
      <c r="ED1" s="352"/>
      <c r="EE1" s="352"/>
      <c r="EF1" s="352"/>
      <c r="EG1" s="372"/>
      <c r="EH1" s="352"/>
      <c r="EI1" s="352"/>
      <c r="EJ1" s="352"/>
      <c r="EK1" s="372"/>
      <c r="EL1" s="352"/>
      <c r="EM1" s="352"/>
      <c r="EN1" s="352"/>
      <c r="EO1" s="372"/>
      <c r="EP1" s="352"/>
      <c r="EQ1" s="352"/>
      <c r="ER1" s="352"/>
      <c r="ES1" s="372"/>
      <c r="ET1" s="352"/>
      <c r="EU1" s="352"/>
      <c r="EV1" s="352"/>
      <c r="EW1" s="352"/>
      <c r="EX1" s="372"/>
      <c r="EY1" s="352"/>
      <c r="EZ1" s="352"/>
      <c r="FA1" s="352"/>
      <c r="FB1" s="372"/>
      <c r="FC1" s="352"/>
      <c r="FD1" s="352"/>
      <c r="FE1" s="352"/>
      <c r="FF1" s="372"/>
      <c r="FG1" s="352"/>
      <c r="FH1" s="352"/>
      <c r="FI1" s="352"/>
      <c r="FJ1" s="372"/>
      <c r="FK1" s="352"/>
      <c r="FL1" s="352"/>
      <c r="FM1" s="352"/>
      <c r="FN1" s="372"/>
      <c r="FO1" s="352"/>
      <c r="FP1" s="352"/>
      <c r="FQ1" s="352"/>
      <c r="FR1" s="372"/>
      <c r="FS1" s="352"/>
      <c r="FT1" s="352"/>
      <c r="FU1" s="352"/>
      <c r="FV1" s="372"/>
      <c r="FW1" s="352"/>
      <c r="FX1" s="3"/>
      <c r="FY1" s="154"/>
      <c r="FZ1" s="179"/>
      <c r="GA1" s="154"/>
      <c r="GB1" s="154"/>
      <c r="GC1" s="154"/>
      <c r="GD1" s="179"/>
      <c r="GE1" s="154"/>
      <c r="GF1" s="154"/>
      <c r="GG1" s="154"/>
      <c r="GH1" s="179"/>
      <c r="GI1" s="154"/>
      <c r="GJ1" s="3"/>
      <c r="GK1" s="3"/>
      <c r="GL1" s="4"/>
      <c r="GM1" s="3"/>
      <c r="GN1" s="3"/>
      <c r="GO1" s="3"/>
      <c r="GP1" s="4"/>
      <c r="GQ1" s="3"/>
      <c r="GR1" s="3"/>
      <c r="GS1" s="3"/>
      <c r="GT1" s="4"/>
      <c r="GU1" s="3"/>
      <c r="GV1" s="3"/>
      <c r="GW1" s="3"/>
      <c r="GX1" s="4"/>
      <c r="GY1" s="3"/>
      <c r="GZ1" s="3"/>
      <c r="HA1" s="3"/>
      <c r="HB1" s="4"/>
      <c r="HC1" s="3"/>
      <c r="HD1" s="3"/>
      <c r="HE1" s="3"/>
      <c r="HF1" s="4"/>
      <c r="HG1" s="3"/>
      <c r="HH1" s="3"/>
      <c r="HI1" s="3"/>
      <c r="HJ1" s="4"/>
      <c r="HK1" s="3"/>
      <c r="HL1" s="3"/>
      <c r="HM1" s="3"/>
      <c r="HN1" s="4"/>
      <c r="HO1" s="3"/>
      <c r="HP1" s="3"/>
      <c r="HQ1" s="3"/>
      <c r="HR1" s="3"/>
      <c r="HS1" s="4"/>
      <c r="HT1" s="3"/>
      <c r="HU1" s="3"/>
      <c r="HV1" s="3"/>
      <c r="HW1" s="4"/>
      <c r="HX1" s="3"/>
      <c r="HY1" s="3"/>
      <c r="HZ1" s="3"/>
      <c r="IA1" s="3"/>
      <c r="IB1" s="4"/>
      <c r="IC1" s="3"/>
      <c r="ID1" s="3"/>
      <c r="IE1" s="3"/>
      <c r="IF1" s="3"/>
      <c r="IG1" s="4"/>
      <c r="IH1" s="3"/>
      <c r="II1" s="3"/>
      <c r="IJ1" s="3"/>
      <c r="IK1" s="3"/>
      <c r="IL1" s="4"/>
      <c r="IM1" s="3"/>
      <c r="IN1" s="3"/>
      <c r="IO1" s="3"/>
      <c r="IP1" s="4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4"/>
      <c r="JC1" s="3"/>
      <c r="JD1" s="4"/>
      <c r="JE1" s="3"/>
      <c r="JF1" s="4"/>
      <c r="JG1" s="3"/>
      <c r="JH1" s="4"/>
      <c r="JI1" s="3"/>
      <c r="JJ1" s="4"/>
      <c r="JK1" s="3"/>
      <c r="JL1" s="4"/>
      <c r="JM1" s="3"/>
      <c r="JN1" s="4"/>
      <c r="JO1" s="3"/>
      <c r="JP1" s="4"/>
      <c r="JQ1" s="3"/>
      <c r="JR1" s="4"/>
      <c r="JS1" s="3"/>
      <c r="JT1" s="4"/>
      <c r="JU1" s="5"/>
      <c r="JV1" s="4"/>
      <c r="JW1" s="5"/>
      <c r="JX1" s="4"/>
      <c r="JY1" s="5"/>
      <c r="JZ1" s="4"/>
      <c r="KA1" s="5"/>
      <c r="KB1" s="5"/>
      <c r="KC1" s="5"/>
      <c r="KD1" s="5"/>
      <c r="KE1" s="5"/>
      <c r="KF1" s="5"/>
      <c r="KG1" s="5"/>
      <c r="KH1" s="5"/>
      <c r="KI1" s="5"/>
      <c r="KJ1" s="5"/>
      <c r="KK1" s="6"/>
      <c r="KL1" s="5"/>
      <c r="KM1" s="5"/>
      <c r="KN1" s="5"/>
      <c r="KO1" s="6"/>
      <c r="KP1" s="5"/>
      <c r="KQ1" s="5"/>
      <c r="KR1" s="5"/>
      <c r="KS1" s="6"/>
      <c r="KT1" s="5"/>
      <c r="KU1" s="5"/>
    </row>
    <row r="2" spans="1:385" ht="35.25" customHeight="1">
      <c r="A2" s="7"/>
      <c r="B2" s="8" t="s">
        <v>0</v>
      </c>
      <c r="C2" s="373"/>
      <c r="D2" s="347" t="s">
        <v>916</v>
      </c>
      <c r="F2" s="363" t="s">
        <v>823</v>
      </c>
      <c r="G2" s="373"/>
      <c r="H2" s="347" t="s">
        <v>893</v>
      </c>
      <c r="J2" s="363" t="s">
        <v>796</v>
      </c>
      <c r="K2" s="373"/>
      <c r="L2" s="347" t="s">
        <v>891</v>
      </c>
      <c r="N2" s="363" t="s">
        <v>805</v>
      </c>
      <c r="O2" s="373"/>
      <c r="P2" s="347" t="s">
        <v>892</v>
      </c>
      <c r="R2" s="363" t="s">
        <v>797</v>
      </c>
      <c r="T2" s="347" t="s">
        <v>876</v>
      </c>
      <c r="V2" s="363" t="s">
        <v>794</v>
      </c>
      <c r="X2" s="347" t="s">
        <v>845</v>
      </c>
      <c r="Z2" s="363" t="s">
        <v>767</v>
      </c>
      <c r="AA2" s="373"/>
      <c r="AB2" s="347" t="s">
        <v>795</v>
      </c>
      <c r="AD2" s="363" t="s">
        <v>717</v>
      </c>
      <c r="AE2" s="373"/>
      <c r="AF2" s="347" t="s">
        <v>823</v>
      </c>
      <c r="AH2" s="363" t="s">
        <v>735</v>
      </c>
      <c r="AI2" s="373"/>
      <c r="AJ2" s="347" t="s">
        <v>796</v>
      </c>
      <c r="AL2" s="363" t="s">
        <v>716</v>
      </c>
      <c r="AM2" s="373"/>
      <c r="AN2" s="347" t="s">
        <v>805</v>
      </c>
      <c r="AP2" s="363" t="s">
        <v>714</v>
      </c>
      <c r="AQ2" s="373"/>
      <c r="AR2" s="347" t="s">
        <v>797</v>
      </c>
      <c r="AT2" s="363" t="s">
        <v>715</v>
      </c>
      <c r="AU2" s="373"/>
      <c r="AV2" s="347" t="s">
        <v>794</v>
      </c>
      <c r="AX2" s="363" t="s">
        <v>704</v>
      </c>
      <c r="AY2" s="373"/>
      <c r="AZ2" s="347" t="s">
        <v>767</v>
      </c>
      <c r="BB2" s="363" t="s">
        <v>670</v>
      </c>
      <c r="BC2" s="373"/>
      <c r="BD2" s="347" t="s">
        <v>717</v>
      </c>
      <c r="BF2" s="363" t="s">
        <v>633</v>
      </c>
      <c r="BG2" s="373"/>
      <c r="BH2" s="347" t="s">
        <v>735</v>
      </c>
      <c r="BJ2" s="363" t="s">
        <v>656</v>
      </c>
      <c r="BK2" s="373"/>
      <c r="BL2" s="347" t="s">
        <v>716</v>
      </c>
      <c r="BN2" s="363" t="s">
        <v>634</v>
      </c>
      <c r="BO2" s="373"/>
      <c r="BP2" s="347" t="s">
        <v>714</v>
      </c>
      <c r="BR2" s="363" t="s">
        <v>643</v>
      </c>
      <c r="BS2" s="373"/>
      <c r="BT2" s="347" t="s">
        <v>715</v>
      </c>
      <c r="BV2" s="363" t="s">
        <v>644</v>
      </c>
      <c r="BW2" s="373"/>
      <c r="BX2" s="347" t="s">
        <v>704</v>
      </c>
      <c r="BZ2" s="363" t="s">
        <v>632</v>
      </c>
      <c r="CA2" s="373"/>
      <c r="CB2" s="347" t="s">
        <v>670</v>
      </c>
      <c r="CD2" s="363" t="s">
        <v>613</v>
      </c>
      <c r="CE2" s="373"/>
      <c r="CF2" s="347" t="s">
        <v>633</v>
      </c>
      <c r="CH2" s="363" t="s">
        <v>615</v>
      </c>
      <c r="CI2" s="373"/>
      <c r="CJ2" s="347" t="s">
        <v>656</v>
      </c>
      <c r="CL2" s="363" t="s">
        <v>599</v>
      </c>
      <c r="CM2" s="373"/>
      <c r="CN2" s="347" t="s">
        <v>634</v>
      </c>
      <c r="CP2" s="363" t="s">
        <v>600</v>
      </c>
      <c r="CQ2" s="373"/>
      <c r="CR2" s="347" t="s">
        <v>643</v>
      </c>
      <c r="CT2" s="363" t="s">
        <v>587</v>
      </c>
      <c r="CU2" s="373"/>
      <c r="CV2" s="347" t="s">
        <v>644</v>
      </c>
      <c r="CX2" s="363" t="s">
        <v>586</v>
      </c>
      <c r="CY2" s="373"/>
      <c r="CZ2" s="347" t="s">
        <v>632</v>
      </c>
      <c r="DB2" s="363" t="s">
        <v>577</v>
      </c>
      <c r="DC2" s="373"/>
      <c r="DD2" s="347" t="s">
        <v>613</v>
      </c>
      <c r="DF2" s="363" t="s">
        <v>614</v>
      </c>
      <c r="DG2" s="373"/>
      <c r="DH2" s="347" t="s">
        <v>615</v>
      </c>
      <c r="DJ2" s="363" t="s">
        <v>576</v>
      </c>
      <c r="DK2" s="8"/>
      <c r="DL2" s="347" t="s">
        <v>599</v>
      </c>
      <c r="DN2" s="363" t="s">
        <v>552</v>
      </c>
      <c r="DO2" s="373"/>
      <c r="DP2" s="347" t="s">
        <v>600</v>
      </c>
      <c r="DR2" s="363" t="s">
        <v>562</v>
      </c>
      <c r="DS2" s="8"/>
      <c r="DT2" s="347" t="s">
        <v>587</v>
      </c>
      <c r="DV2" s="363" t="s">
        <v>588</v>
      </c>
      <c r="DW2" s="373"/>
      <c r="DX2" s="347" t="s">
        <v>586</v>
      </c>
      <c r="DZ2" s="363" t="s">
        <v>549</v>
      </c>
      <c r="EA2" s="373"/>
      <c r="EB2" s="347" t="s">
        <v>577</v>
      </c>
      <c r="ED2" s="363" t="s">
        <v>535</v>
      </c>
      <c r="EE2" s="373"/>
      <c r="EF2" s="353">
        <v>2019</v>
      </c>
      <c r="EH2" s="353">
        <v>2018</v>
      </c>
      <c r="EI2" s="372"/>
      <c r="EJ2" s="353" t="s">
        <v>567</v>
      </c>
      <c r="EL2" s="353" t="s">
        <v>568</v>
      </c>
      <c r="EM2" s="373"/>
      <c r="EN2" s="363" t="s">
        <v>552</v>
      </c>
      <c r="EP2" s="363" t="s">
        <v>500</v>
      </c>
      <c r="EQ2" s="372"/>
      <c r="ER2" s="363" t="s">
        <v>553</v>
      </c>
      <c r="ET2" s="363" t="s">
        <v>501</v>
      </c>
      <c r="EU2" s="372"/>
      <c r="EV2" s="372"/>
      <c r="EW2" s="363" t="s">
        <v>540</v>
      </c>
      <c r="EY2" s="363" t="s">
        <v>438</v>
      </c>
      <c r="EZ2" s="372"/>
      <c r="FA2" s="363" t="s">
        <v>539</v>
      </c>
      <c r="FC2" s="363" t="s">
        <v>439</v>
      </c>
      <c r="FD2" s="372"/>
      <c r="FE2" s="363" t="s">
        <v>529</v>
      </c>
      <c r="FG2" s="363" t="s">
        <v>281</v>
      </c>
      <c r="FH2" s="372"/>
      <c r="FI2" s="363">
        <v>2018</v>
      </c>
      <c r="FK2" s="363">
        <v>2017</v>
      </c>
      <c r="FL2" s="372"/>
      <c r="FM2" s="363" t="s">
        <v>517</v>
      </c>
      <c r="FO2" s="363" t="s">
        <v>441</v>
      </c>
      <c r="FP2" s="372"/>
      <c r="FQ2" s="363" t="s">
        <v>500</v>
      </c>
      <c r="FS2" s="363" t="s">
        <v>329</v>
      </c>
      <c r="FT2" s="372"/>
      <c r="FU2" s="363" t="s">
        <v>501</v>
      </c>
      <c r="FW2" s="363" t="s">
        <v>285</v>
      </c>
      <c r="FX2" s="4"/>
      <c r="FY2" s="151" t="s">
        <v>438</v>
      </c>
      <c r="GA2" s="151" t="s">
        <v>300</v>
      </c>
      <c r="GB2" s="179"/>
      <c r="GC2" s="151" t="s">
        <v>439</v>
      </c>
      <c r="GE2" s="151" t="s">
        <v>287</v>
      </c>
      <c r="GF2" s="179"/>
      <c r="GG2" s="152" t="s">
        <v>281</v>
      </c>
      <c r="GI2" s="151" t="s">
        <v>282</v>
      </c>
      <c r="GJ2" s="135"/>
      <c r="GK2" s="152">
        <v>2017</v>
      </c>
      <c r="GL2" s="157"/>
      <c r="GM2" s="151">
        <v>2016</v>
      </c>
      <c r="GN2" s="179"/>
      <c r="GO2" s="152" t="s">
        <v>283</v>
      </c>
      <c r="GP2" s="157"/>
      <c r="GQ2" s="151" t="s">
        <v>284</v>
      </c>
      <c r="GR2" s="179"/>
      <c r="GS2" s="152" t="s">
        <v>285</v>
      </c>
      <c r="GT2" s="157"/>
      <c r="GU2" s="151" t="s">
        <v>286</v>
      </c>
      <c r="GV2" s="179"/>
      <c r="GW2" s="152" t="s">
        <v>298</v>
      </c>
      <c r="GX2" s="157"/>
      <c r="GY2" s="151" t="s">
        <v>299</v>
      </c>
      <c r="GZ2" s="179"/>
      <c r="HA2" s="152" t="s">
        <v>300</v>
      </c>
      <c r="HB2" s="157"/>
      <c r="HC2" s="151" t="s">
        <v>301</v>
      </c>
      <c r="HD2" s="179"/>
      <c r="HE2" s="152" t="s">
        <v>287</v>
      </c>
      <c r="HF2" s="157"/>
      <c r="HG2" s="151" t="s">
        <v>288</v>
      </c>
      <c r="HH2" s="179"/>
      <c r="HI2" s="152" t="s">
        <v>282</v>
      </c>
      <c r="HJ2" s="157"/>
      <c r="HK2" s="151" t="s">
        <v>302</v>
      </c>
      <c r="HL2" s="179"/>
      <c r="HM2" s="152">
        <v>2016</v>
      </c>
      <c r="HN2" s="157"/>
      <c r="HO2" s="151">
        <v>2015</v>
      </c>
      <c r="HP2" s="179"/>
      <c r="HQ2" s="179"/>
      <c r="HR2" s="152" t="s">
        <v>284</v>
      </c>
      <c r="HS2" s="185"/>
      <c r="HT2" s="151" t="s">
        <v>303</v>
      </c>
      <c r="HU2" s="186"/>
      <c r="HV2" s="152" t="s">
        <v>304</v>
      </c>
      <c r="HW2" s="157"/>
      <c r="HX2" s="151" t="s">
        <v>305</v>
      </c>
      <c r="HY2" s="179"/>
      <c r="HZ2" s="179"/>
      <c r="IA2" s="152" t="s">
        <v>306</v>
      </c>
      <c r="IB2" s="185"/>
      <c r="IC2" s="151" t="s">
        <v>307</v>
      </c>
      <c r="ID2" s="179"/>
      <c r="IE2" s="179"/>
      <c r="IF2" s="152" t="s">
        <v>308</v>
      </c>
      <c r="IG2" s="185"/>
      <c r="IH2" s="151" t="s">
        <v>309</v>
      </c>
      <c r="II2" s="179"/>
      <c r="IJ2" s="179"/>
      <c r="IK2" s="152" t="s">
        <v>310</v>
      </c>
      <c r="IL2" s="185"/>
      <c r="IM2" s="151" t="s">
        <v>311</v>
      </c>
      <c r="IN2" s="179"/>
      <c r="IO2" s="152" t="s">
        <v>312</v>
      </c>
      <c r="IP2" s="185"/>
      <c r="IQ2" s="151" t="s">
        <v>313</v>
      </c>
      <c r="IR2" s="179"/>
      <c r="IS2" s="151">
        <v>2015</v>
      </c>
      <c r="IT2" s="179"/>
      <c r="IU2" s="151">
        <v>2014</v>
      </c>
      <c r="IV2" s="179"/>
      <c r="IW2" s="151" t="s">
        <v>303</v>
      </c>
      <c r="IX2" s="185"/>
      <c r="IY2" s="151" t="s">
        <v>292</v>
      </c>
      <c r="IZ2" s="179"/>
      <c r="JA2" s="151" t="s">
        <v>305</v>
      </c>
      <c r="JB2" s="157"/>
      <c r="JC2" s="151" t="s">
        <v>314</v>
      </c>
      <c r="JD2" s="185"/>
      <c r="JE2" s="151" t="s">
        <v>315</v>
      </c>
      <c r="JF2" s="185"/>
      <c r="JG2" s="151" t="s">
        <v>316</v>
      </c>
      <c r="JH2" s="185"/>
      <c r="JI2" s="151" t="s">
        <v>317</v>
      </c>
      <c r="JJ2" s="185"/>
      <c r="JK2" s="151" t="s">
        <v>290</v>
      </c>
      <c r="JL2" s="185"/>
      <c r="JM2" s="151" t="s">
        <v>318</v>
      </c>
      <c r="JN2" s="185"/>
      <c r="JO2" s="151" t="s">
        <v>296</v>
      </c>
      <c r="JP2" s="185"/>
      <c r="JQ2" s="151" t="s">
        <v>319</v>
      </c>
      <c r="JR2" s="185"/>
      <c r="JS2" s="151" t="s">
        <v>320</v>
      </c>
      <c r="JT2" s="185"/>
      <c r="JU2" s="151">
        <v>2014</v>
      </c>
      <c r="JV2" s="185"/>
      <c r="JW2" s="151">
        <v>2013</v>
      </c>
      <c r="JX2" s="185"/>
      <c r="JY2" s="151" t="s">
        <v>292</v>
      </c>
      <c r="JZ2" s="157"/>
      <c r="KA2" s="151" t="s">
        <v>293</v>
      </c>
      <c r="KB2" s="179"/>
      <c r="KC2" s="151" t="s">
        <v>314</v>
      </c>
      <c r="KD2" s="157"/>
      <c r="KE2" s="151" t="s">
        <v>321</v>
      </c>
      <c r="KF2" s="157"/>
      <c r="KG2" s="151" t="s">
        <v>316</v>
      </c>
      <c r="KH2" s="157"/>
      <c r="KI2" s="151" t="s">
        <v>295</v>
      </c>
      <c r="KJ2" s="157"/>
      <c r="KK2" s="151" t="s">
        <v>290</v>
      </c>
      <c r="KL2" s="157"/>
      <c r="KM2" s="151" t="s">
        <v>291</v>
      </c>
      <c r="KN2" s="157"/>
      <c r="KO2" s="151" t="s">
        <v>296</v>
      </c>
      <c r="KP2" s="157"/>
      <c r="KQ2" s="151" t="s">
        <v>322</v>
      </c>
      <c r="KR2" s="157"/>
      <c r="KS2" s="151" t="s">
        <v>320</v>
      </c>
      <c r="KT2" s="157"/>
      <c r="KU2" s="151" t="s">
        <v>323</v>
      </c>
      <c r="KV2" s="157"/>
      <c r="KW2" s="157"/>
      <c r="KX2" s="157"/>
      <c r="KY2" s="157"/>
      <c r="KZ2" s="157"/>
      <c r="LA2" s="157"/>
      <c r="LB2" s="157"/>
      <c r="LC2" s="157"/>
      <c r="LD2" s="157"/>
      <c r="LE2" s="157"/>
      <c r="LF2" s="157"/>
      <c r="LG2" s="157"/>
      <c r="LH2" s="157"/>
      <c r="LI2" s="157"/>
      <c r="LJ2" s="157"/>
      <c r="LK2" s="157"/>
      <c r="LL2" s="157"/>
      <c r="LM2" s="157"/>
      <c r="LN2" s="157"/>
      <c r="LO2" s="157"/>
      <c r="LP2" s="157"/>
      <c r="LQ2" s="157"/>
      <c r="LR2" s="157"/>
      <c r="LS2" s="157"/>
      <c r="LT2" s="157"/>
      <c r="LU2" s="157"/>
      <c r="LV2" s="157"/>
      <c r="LW2" s="157"/>
      <c r="LX2" s="157"/>
      <c r="LY2" s="157"/>
      <c r="LZ2" s="157"/>
      <c r="MA2" s="157"/>
      <c r="MB2" s="157"/>
      <c r="MC2" s="157"/>
      <c r="MD2" s="157"/>
      <c r="ME2" s="157"/>
      <c r="MF2" s="157"/>
      <c r="MG2" s="157"/>
      <c r="MH2" s="157"/>
      <c r="MI2" s="157"/>
      <c r="MJ2" s="157"/>
      <c r="MK2" s="157"/>
      <c r="ML2" s="157"/>
      <c r="MM2" s="157"/>
      <c r="MN2" s="157"/>
      <c r="MO2" s="157"/>
      <c r="MP2" s="157"/>
      <c r="MQ2" s="157"/>
      <c r="MR2" s="157"/>
      <c r="MS2" s="157"/>
      <c r="MT2" s="157"/>
      <c r="MU2" s="157"/>
      <c r="MV2" s="157"/>
      <c r="MW2" s="157"/>
      <c r="MX2" s="157"/>
      <c r="MY2" s="157"/>
      <c r="MZ2" s="157"/>
      <c r="NA2" s="157"/>
      <c r="NB2" s="157"/>
      <c r="NC2" s="157"/>
      <c r="ND2" s="157"/>
      <c r="NE2" s="157"/>
      <c r="NF2" s="157"/>
      <c r="NG2" s="157"/>
      <c r="NH2" s="157"/>
      <c r="NI2" s="157"/>
      <c r="NJ2" s="157"/>
      <c r="NK2" s="157"/>
      <c r="NL2" s="157"/>
      <c r="NM2" s="157"/>
      <c r="NN2" s="157"/>
      <c r="NO2" s="157"/>
      <c r="NP2" s="157"/>
      <c r="NQ2" s="157"/>
      <c r="NR2" s="157"/>
      <c r="NS2" s="157"/>
      <c r="NT2" s="157"/>
      <c r="NU2" s="157"/>
    </row>
    <row r="3" spans="1:385">
      <c r="A3" s="11" t="s">
        <v>48</v>
      </c>
      <c r="B3" s="12" t="s">
        <v>373</v>
      </c>
      <c r="C3" s="375"/>
      <c r="D3" s="348">
        <f>([3]segmenty!$I$9)*1000</f>
        <v>23030000</v>
      </c>
      <c r="E3" s="167"/>
      <c r="F3" s="348">
        <f>[3]segmenty!$I$47*1000</f>
        <v>31783000</v>
      </c>
      <c r="G3" s="375"/>
      <c r="H3" s="348">
        <f>D3-L3</f>
        <v>7746000</v>
      </c>
      <c r="I3" s="167"/>
      <c r="J3" s="348">
        <f>F3-N3</f>
        <v>9160000</v>
      </c>
      <c r="K3" s="375"/>
      <c r="L3" s="348">
        <v>15284000</v>
      </c>
      <c r="M3" s="167"/>
      <c r="N3" s="348">
        <v>22623000</v>
      </c>
      <c r="O3" s="375"/>
      <c r="P3" s="348">
        <f t="shared" ref="P3:R6" si="0">L3-T3</f>
        <v>7142000</v>
      </c>
      <c r="Q3" s="167"/>
      <c r="R3" s="348">
        <f t="shared" si="0"/>
        <v>9064000</v>
      </c>
      <c r="S3" s="167"/>
      <c r="T3" s="348">
        <f>[4]segmenty!$H$9*1000</f>
        <v>8142000</v>
      </c>
      <c r="U3" s="167"/>
      <c r="V3" s="374">
        <f>[4]segmenty!$H$47*1000</f>
        <v>13559000</v>
      </c>
      <c r="W3" s="167"/>
      <c r="X3" s="348">
        <f>[5]segmenty!$H$9*1000</f>
        <v>42657000</v>
      </c>
      <c r="Y3" s="167"/>
      <c r="Z3" s="374">
        <f t="shared" ref="Z3:Z7" si="1">AZ3</f>
        <v>37341000</v>
      </c>
      <c r="AA3" s="375"/>
      <c r="AB3" s="348">
        <f t="shared" ref="AB3:AB6" si="2">X3-AF3</f>
        <v>10215000</v>
      </c>
      <c r="AC3" s="167"/>
      <c r="AD3" s="374">
        <f t="shared" ref="AD3:AD7" si="3">BD3</f>
        <v>10531000</v>
      </c>
      <c r="AE3" s="375"/>
      <c r="AF3" s="348">
        <f>([6]segmenty!$H$9)*1000</f>
        <v>32442000</v>
      </c>
      <c r="AG3" s="167"/>
      <c r="AH3" s="374">
        <f t="shared" ref="AH3:AH7" si="4">BH3</f>
        <v>26810000</v>
      </c>
      <c r="AI3" s="375"/>
      <c r="AJ3" s="348">
        <f>'[6]segmenty 3 m-ce'!$H$69*1000</f>
        <v>9160000</v>
      </c>
      <c r="AK3" s="167"/>
      <c r="AL3" s="374">
        <f t="shared" ref="AL3:AL7" si="5">BL3</f>
        <v>8690000</v>
      </c>
      <c r="AM3" s="375"/>
      <c r="AN3" s="348">
        <f>[7]segmenty!$H$9*1000</f>
        <v>23282000</v>
      </c>
      <c r="AO3" s="167"/>
      <c r="AP3" s="374">
        <f>[7]segmenty!$K$48*1000</f>
        <v>18124000</v>
      </c>
      <c r="AQ3" s="375"/>
      <c r="AR3" s="348">
        <f t="shared" ref="AR3:AT6" si="6">AN3-AV3</f>
        <v>9723000</v>
      </c>
      <c r="AS3" s="167"/>
      <c r="AT3" s="374">
        <f t="shared" si="6"/>
        <v>8311000</v>
      </c>
      <c r="AU3" s="375"/>
      <c r="AV3" s="348">
        <f>[8]segmenty!$H$9*1000</f>
        <v>13559000</v>
      </c>
      <c r="AW3" s="167"/>
      <c r="AX3" s="374">
        <f>[8]segmenty!$K$48*1000</f>
        <v>9813000</v>
      </c>
      <c r="AY3" s="375"/>
      <c r="AZ3" s="348">
        <v>37341000</v>
      </c>
      <c r="BA3" s="167"/>
      <c r="BB3" s="374">
        <v>25614000</v>
      </c>
      <c r="BC3" s="375"/>
      <c r="BD3" s="348">
        <f t="shared" ref="BD3:BF6" si="7">AZ3-BH3</f>
        <v>10531000</v>
      </c>
      <c r="BE3" s="167"/>
      <c r="BF3" s="374">
        <f t="shared" si="7"/>
        <v>7750000</v>
      </c>
      <c r="BG3" s="375"/>
      <c r="BH3" s="348">
        <v>26810000</v>
      </c>
      <c r="BI3" s="167"/>
      <c r="BJ3" s="374">
        <v>17864000</v>
      </c>
      <c r="BK3" s="375"/>
      <c r="BL3" s="348">
        <v>8690000</v>
      </c>
      <c r="BM3" s="167"/>
      <c r="BN3" s="374">
        <v>5998000</v>
      </c>
      <c r="BO3" s="375"/>
      <c r="BP3" s="348">
        <v>18124000</v>
      </c>
      <c r="BQ3" s="167"/>
      <c r="BR3" s="374">
        <v>11866000</v>
      </c>
      <c r="BS3" s="375"/>
      <c r="BT3" s="348">
        <f t="shared" ref="BT3:BT6" si="8">BP3-BX3</f>
        <v>8311000</v>
      </c>
      <c r="BU3" s="167"/>
      <c r="BV3" s="374">
        <f t="shared" ref="BV3:BV6" si="9">BR3-BZ3</f>
        <v>5421000</v>
      </c>
      <c r="BW3" s="375"/>
      <c r="BX3" s="348">
        <v>9813000</v>
      </c>
      <c r="BY3" s="167"/>
      <c r="BZ3" s="374">
        <v>6445000</v>
      </c>
      <c r="CA3" s="375"/>
      <c r="CB3" s="348">
        <v>25614000</v>
      </c>
      <c r="CC3" s="167"/>
      <c r="CD3" s="374">
        <v>20850000</v>
      </c>
      <c r="CE3" s="375"/>
      <c r="CF3" s="348">
        <f t="shared" ref="CF3:CF6" si="10">CB3-CJ3</f>
        <v>7750403</v>
      </c>
      <c r="CG3" s="167"/>
      <c r="CH3" s="374">
        <f t="shared" ref="CH3:CH6" si="11">CD3-CL3</f>
        <v>5629051</v>
      </c>
      <c r="CI3" s="375"/>
      <c r="CJ3" s="348">
        <v>17863597</v>
      </c>
      <c r="CK3" s="167"/>
      <c r="CL3" s="374">
        <v>15220949</v>
      </c>
      <c r="CM3" s="375"/>
      <c r="CN3" s="348">
        <f t="shared" ref="CN3:CN5" si="12">CJ3-CR3</f>
        <v>5997216</v>
      </c>
      <c r="CO3" s="167"/>
      <c r="CP3" s="374">
        <f t="shared" ref="CP3:CP6" si="13">CL3-CT3</f>
        <v>5034171</v>
      </c>
      <c r="CQ3" s="375"/>
      <c r="CR3" s="348">
        <v>11866381</v>
      </c>
      <c r="CS3" s="167"/>
      <c r="CT3" s="374">
        <v>10186778</v>
      </c>
      <c r="CU3" s="375"/>
      <c r="CV3" s="348">
        <f t="shared" ref="CV3:CX6" si="14">CR3-CZ3</f>
        <v>5421868</v>
      </c>
      <c r="CW3" s="167"/>
      <c r="CX3" s="374">
        <f t="shared" si="14"/>
        <v>4719012</v>
      </c>
      <c r="CY3" s="375"/>
      <c r="CZ3" s="348">
        <v>6444513</v>
      </c>
      <c r="DA3" s="167"/>
      <c r="DB3" s="374">
        <f t="shared" ref="DB3:DB7" si="15">EB3</f>
        <v>5467766</v>
      </c>
      <c r="DC3" s="375"/>
      <c r="DD3" s="348">
        <v>20850008</v>
      </c>
      <c r="DE3" s="167"/>
      <c r="DF3" s="374">
        <v>19558292</v>
      </c>
      <c r="DG3" s="375"/>
      <c r="DH3" s="348">
        <f t="shared" ref="DH3:DH6" si="16">DD3-DL3</f>
        <v>5629059</v>
      </c>
      <c r="DI3" s="167"/>
      <c r="DJ3" s="348">
        <f t="shared" ref="DJ3:DJ6" si="17">DF3-DN3</f>
        <v>5120102</v>
      </c>
      <c r="DK3" s="12"/>
      <c r="DL3" s="348">
        <v>15220949</v>
      </c>
      <c r="DM3" s="167"/>
      <c r="DN3" s="374">
        <v>14438190</v>
      </c>
      <c r="DO3" s="375"/>
      <c r="DP3" s="348">
        <f t="shared" ref="DP3:DR6" si="18">DL3-DT3</f>
        <v>5332932</v>
      </c>
      <c r="DQ3" s="167"/>
      <c r="DR3" s="348">
        <f t="shared" si="18"/>
        <v>5112346</v>
      </c>
      <c r="DS3" s="12"/>
      <c r="DT3" s="348">
        <v>9888017</v>
      </c>
      <c r="DU3" s="167"/>
      <c r="DV3" s="374">
        <v>9325844</v>
      </c>
      <c r="DW3" s="375"/>
      <c r="DX3" s="348">
        <v>4622401</v>
      </c>
      <c r="DY3" s="167"/>
      <c r="DZ3" s="374">
        <v>4238729</v>
      </c>
      <c r="EA3" s="375"/>
      <c r="EB3" s="348">
        <v>5467766</v>
      </c>
      <c r="EC3" s="167"/>
      <c r="ED3" s="374">
        <v>5312809</v>
      </c>
      <c r="EE3" s="375"/>
      <c r="EF3" s="354">
        <v>19558292</v>
      </c>
      <c r="EH3" s="474">
        <v>18121748</v>
      </c>
      <c r="EI3" s="357"/>
      <c r="EJ3" s="354">
        <v>5120102</v>
      </c>
      <c r="EL3" s="474">
        <v>4819946</v>
      </c>
      <c r="EM3" s="375"/>
      <c r="EN3" s="374">
        <v>15259646</v>
      </c>
      <c r="EO3" s="376"/>
      <c r="EP3" s="374">
        <v>13301802</v>
      </c>
      <c r="EQ3" s="357"/>
      <c r="ER3" s="374">
        <v>4861792</v>
      </c>
      <c r="ES3" s="376"/>
      <c r="ET3" s="374">
        <v>4476268</v>
      </c>
      <c r="EU3" s="375"/>
      <c r="EV3" s="357"/>
      <c r="EW3" s="374">
        <v>10397854</v>
      </c>
      <c r="EX3" s="376"/>
      <c r="EY3" s="374">
        <v>8825534</v>
      </c>
      <c r="EZ3" s="357"/>
      <c r="FA3" s="374">
        <v>5085045</v>
      </c>
      <c r="FB3" s="376"/>
      <c r="FC3" s="374">
        <v>4188648</v>
      </c>
      <c r="FD3" s="357"/>
      <c r="FE3" s="374">
        <v>5312809</v>
      </c>
      <c r="FF3" s="376"/>
      <c r="FG3" s="374">
        <v>4636886</v>
      </c>
      <c r="FH3" s="375"/>
      <c r="FI3" s="374">
        <v>18121748</v>
      </c>
      <c r="FJ3" s="376"/>
      <c r="FK3" s="374">
        <v>17424551</v>
      </c>
      <c r="FL3" s="357"/>
      <c r="FM3" s="374">
        <v>4819946</v>
      </c>
      <c r="FN3" s="376"/>
      <c r="FO3" s="374">
        <v>4550562</v>
      </c>
      <c r="FP3" s="357"/>
      <c r="FQ3" s="374">
        <v>13301802</v>
      </c>
      <c r="FR3" s="376"/>
      <c r="FS3" s="374">
        <v>12873989</v>
      </c>
      <c r="FT3" s="357"/>
      <c r="FU3" s="374">
        <v>4476268</v>
      </c>
      <c r="FV3" s="376"/>
      <c r="FW3" s="374">
        <v>4115965</v>
      </c>
      <c r="FX3" s="13"/>
      <c r="FY3" s="188">
        <v>9202371</v>
      </c>
      <c r="FZ3" s="167"/>
      <c r="GA3" s="188">
        <v>8758024</v>
      </c>
      <c r="GB3" s="189"/>
      <c r="GC3" s="188">
        <v>4376839</v>
      </c>
      <c r="GD3" s="167"/>
      <c r="GE3" s="188">
        <v>4166943</v>
      </c>
      <c r="GF3" s="189"/>
      <c r="GG3" s="187">
        <v>4825532</v>
      </c>
      <c r="GH3" s="167"/>
      <c r="GI3" s="188">
        <v>4591081</v>
      </c>
      <c r="GJ3" s="9"/>
      <c r="GK3" s="187">
        <v>17416029</v>
      </c>
      <c r="GL3" s="167"/>
      <c r="GM3" s="188">
        <v>17646489</v>
      </c>
      <c r="GN3" s="189"/>
      <c r="GO3" s="187">
        <v>4544709</v>
      </c>
      <c r="GP3" s="167"/>
      <c r="GQ3" s="188">
        <v>4654899</v>
      </c>
      <c r="GR3" s="189"/>
      <c r="GS3" s="187">
        <f>GW3-HA3</f>
        <v>4115954</v>
      </c>
      <c r="GT3" s="167"/>
      <c r="GU3" s="188">
        <f>GY3-HC3</f>
        <v>4150564</v>
      </c>
      <c r="GV3" s="189"/>
      <c r="GW3" s="187">
        <v>12871320</v>
      </c>
      <c r="GX3" s="167"/>
      <c r="GY3" s="188">
        <v>12991590</v>
      </c>
      <c r="GZ3" s="189"/>
      <c r="HA3" s="187">
        <v>8755366</v>
      </c>
      <c r="HB3" s="167"/>
      <c r="HC3" s="188">
        <v>8841026</v>
      </c>
      <c r="HD3" s="189"/>
      <c r="HE3" s="187">
        <f>HA3-HI3</f>
        <v>4165829</v>
      </c>
      <c r="HF3" s="167"/>
      <c r="HG3" s="188">
        <f>HC3-HK3</f>
        <v>4276521</v>
      </c>
      <c r="HH3" s="189"/>
      <c r="HI3" s="187">
        <v>4589537</v>
      </c>
      <c r="HJ3" s="167"/>
      <c r="HK3" s="188">
        <v>4564505</v>
      </c>
      <c r="HL3" s="189"/>
      <c r="HM3" s="187">
        <v>17646489</v>
      </c>
      <c r="HN3" s="167"/>
      <c r="HO3" s="188">
        <v>18264440</v>
      </c>
      <c r="HP3" s="189"/>
      <c r="HQ3" s="189"/>
      <c r="HR3" s="187">
        <v>4522744</v>
      </c>
      <c r="HS3" s="167"/>
      <c r="HT3" s="188">
        <v>4630199</v>
      </c>
      <c r="HU3" s="190"/>
      <c r="HV3" s="187">
        <v>13123745</v>
      </c>
      <c r="HW3" s="167"/>
      <c r="HX3" s="188">
        <v>13634241</v>
      </c>
      <c r="HY3" s="189"/>
      <c r="HZ3" s="189"/>
      <c r="IA3" s="187">
        <v>4180888</v>
      </c>
      <c r="IB3" s="167"/>
      <c r="IC3" s="188">
        <v>4377627</v>
      </c>
      <c r="ID3" s="189"/>
      <c r="IE3" s="189"/>
      <c r="IF3" s="187">
        <v>8942857</v>
      </c>
      <c r="IG3" s="167"/>
      <c r="IH3" s="188">
        <v>9256614</v>
      </c>
      <c r="II3" s="189"/>
      <c r="IJ3" s="189"/>
      <c r="IK3" s="187">
        <v>4295822</v>
      </c>
      <c r="IL3" s="167"/>
      <c r="IM3" s="188">
        <v>4466828</v>
      </c>
      <c r="IN3" s="189"/>
      <c r="IO3" s="187">
        <v>4647035</v>
      </c>
      <c r="IP3" s="167"/>
      <c r="IQ3" s="188">
        <v>4789786</v>
      </c>
      <c r="IR3" s="189"/>
      <c r="IS3" s="188">
        <v>18375224</v>
      </c>
      <c r="IT3" s="189"/>
      <c r="IU3" s="188">
        <v>18577479</v>
      </c>
      <c r="IV3" s="189"/>
      <c r="IW3" s="188">
        <v>4740983</v>
      </c>
      <c r="IX3" s="189"/>
      <c r="IY3" s="188">
        <v>4859798</v>
      </c>
      <c r="IZ3" s="189"/>
      <c r="JA3" s="188">
        <v>13634241</v>
      </c>
      <c r="JB3" s="167"/>
      <c r="JC3" s="188">
        <v>13717681</v>
      </c>
      <c r="JD3" s="167"/>
      <c r="JE3" s="188">
        <v>4377627</v>
      </c>
      <c r="JF3" s="167"/>
      <c r="JG3" s="188">
        <v>4412231</v>
      </c>
      <c r="JH3" s="167"/>
      <c r="JI3" s="188">
        <v>9184291</v>
      </c>
      <c r="JJ3" s="167"/>
      <c r="JK3" s="188">
        <v>9226315</v>
      </c>
      <c r="JL3" s="167"/>
      <c r="JM3" s="188">
        <v>4430475</v>
      </c>
      <c r="JN3" s="167"/>
      <c r="JO3" s="188">
        <v>4339051</v>
      </c>
      <c r="JP3" s="167"/>
      <c r="JQ3" s="188">
        <v>4753816</v>
      </c>
      <c r="JR3" s="167"/>
      <c r="JS3" s="188">
        <v>4887264</v>
      </c>
      <c r="JT3" s="167"/>
      <c r="JU3" s="188">
        <v>18440763</v>
      </c>
      <c r="JV3" s="167"/>
      <c r="JW3" s="188">
        <v>19131122</v>
      </c>
      <c r="JX3" s="167"/>
      <c r="JY3" s="188">
        <v>4837662</v>
      </c>
      <c r="JZ3" s="167"/>
      <c r="KA3" s="188">
        <v>4917418</v>
      </c>
      <c r="KB3" s="185"/>
      <c r="KC3" s="188">
        <v>13603101</v>
      </c>
      <c r="KD3" s="157"/>
      <c r="KE3" s="188">
        <v>14213704</v>
      </c>
      <c r="KF3" s="157"/>
      <c r="KG3" s="188">
        <v>4376786</v>
      </c>
      <c r="KH3" s="157"/>
      <c r="KI3" s="188">
        <v>4540102</v>
      </c>
      <c r="KJ3" s="157"/>
      <c r="KK3" s="188">
        <v>9226315</v>
      </c>
      <c r="KL3" s="157"/>
      <c r="KM3" s="188">
        <v>9706524</v>
      </c>
      <c r="KN3" s="157"/>
      <c r="KO3" s="188">
        <v>4339051</v>
      </c>
      <c r="KP3" s="157"/>
      <c r="KQ3" s="188">
        <v>4542422</v>
      </c>
      <c r="KR3" s="157"/>
      <c r="KS3" s="188">
        <v>4887264</v>
      </c>
      <c r="KT3" s="157"/>
      <c r="KU3" s="188">
        <v>5164102</v>
      </c>
      <c r="KV3" s="157"/>
      <c r="KW3" s="157"/>
      <c r="KX3" s="157"/>
      <c r="KY3" s="157"/>
      <c r="KZ3" s="157"/>
      <c r="LA3" s="157"/>
      <c r="LB3" s="157"/>
      <c r="LC3" s="157"/>
      <c r="LD3" s="157"/>
      <c r="LE3" s="157"/>
      <c r="LF3" s="157"/>
      <c r="LG3" s="157"/>
      <c r="LH3" s="157"/>
      <c r="LI3" s="157"/>
      <c r="LJ3" s="157"/>
      <c r="LK3" s="157"/>
      <c r="LL3" s="157"/>
      <c r="LM3" s="157"/>
      <c r="LN3" s="157"/>
      <c r="LO3" s="157"/>
      <c r="LP3" s="157"/>
      <c r="LQ3" s="157"/>
      <c r="LR3" s="157"/>
      <c r="LS3" s="157"/>
      <c r="LT3" s="157"/>
      <c r="LU3" s="157"/>
      <c r="LV3" s="157"/>
      <c r="LW3" s="157"/>
      <c r="LX3" s="157"/>
      <c r="LY3" s="157"/>
      <c r="LZ3" s="157"/>
      <c r="MA3" s="157"/>
      <c r="MB3" s="157"/>
      <c r="MC3" s="157"/>
      <c r="MD3" s="157"/>
      <c r="ME3" s="157"/>
      <c r="MF3" s="157"/>
      <c r="MG3" s="157"/>
      <c r="MH3" s="157"/>
      <c r="MI3" s="157"/>
      <c r="MJ3" s="157"/>
      <c r="MK3" s="157"/>
      <c r="ML3" s="157"/>
      <c r="MM3" s="157"/>
      <c r="MN3" s="157"/>
      <c r="MO3" s="157"/>
      <c r="MP3" s="157"/>
      <c r="MQ3" s="157"/>
      <c r="MR3" s="157"/>
      <c r="MS3" s="157"/>
      <c r="MT3" s="157"/>
      <c r="MU3" s="157"/>
      <c r="MV3" s="157"/>
      <c r="MW3" s="157"/>
      <c r="MX3" s="157"/>
      <c r="MY3" s="157"/>
      <c r="MZ3" s="157"/>
      <c r="NA3" s="157"/>
      <c r="NB3" s="157"/>
      <c r="NC3" s="157"/>
      <c r="ND3" s="157"/>
      <c r="NE3" s="157"/>
      <c r="NF3" s="157"/>
      <c r="NG3" s="157"/>
      <c r="NH3" s="157"/>
      <c r="NI3" s="157"/>
      <c r="NJ3" s="157"/>
      <c r="NK3" s="157"/>
      <c r="NL3" s="157"/>
      <c r="NM3" s="157"/>
      <c r="NN3" s="157"/>
      <c r="NO3" s="157"/>
      <c r="NP3" s="157"/>
      <c r="NQ3" s="157"/>
      <c r="NR3" s="157"/>
      <c r="NS3" s="157"/>
      <c r="NT3" s="157"/>
      <c r="NU3" s="157"/>
    </row>
    <row r="4" spans="1:385">
      <c r="A4" s="7" t="s">
        <v>1</v>
      </c>
      <c r="B4" s="13" t="s">
        <v>373</v>
      </c>
      <c r="C4" s="376"/>
      <c r="D4" s="323">
        <f>([3]segmenty!$I$34)*1000</f>
        <v>4606000</v>
      </c>
      <c r="E4" s="167"/>
      <c r="F4" s="323">
        <f>AF4</f>
        <v>5471000</v>
      </c>
      <c r="G4" s="376"/>
      <c r="H4" s="323">
        <f>D4-L4</f>
        <v>1477000</v>
      </c>
      <c r="I4" s="167"/>
      <c r="J4" s="323">
        <f>F4-N4</f>
        <v>1197000</v>
      </c>
      <c r="K4" s="376"/>
      <c r="L4" s="323">
        <v>3129000</v>
      </c>
      <c r="M4" s="167"/>
      <c r="N4" s="323">
        <v>4274000</v>
      </c>
      <c r="O4" s="376"/>
      <c r="P4" s="323">
        <f t="shared" si="0"/>
        <v>1588000</v>
      </c>
      <c r="Q4" s="167"/>
      <c r="R4" s="323">
        <f t="shared" si="0"/>
        <v>2044000</v>
      </c>
      <c r="S4" s="167"/>
      <c r="T4" s="323">
        <f>[4]segmenty!$H$34*1000</f>
        <v>1541000</v>
      </c>
      <c r="U4" s="167"/>
      <c r="V4" s="376">
        <f>[4]segmenty!$H$72*1000</f>
        <v>2230000</v>
      </c>
      <c r="W4" s="167"/>
      <c r="X4" s="323">
        <f>[5]segmenty!$H$34*1000</f>
        <v>6145000</v>
      </c>
      <c r="Y4" s="167"/>
      <c r="Z4" s="376">
        <f t="shared" si="1"/>
        <v>4016000</v>
      </c>
      <c r="AA4" s="376"/>
      <c r="AB4" s="323">
        <f t="shared" si="2"/>
        <v>674000</v>
      </c>
      <c r="AC4" s="167"/>
      <c r="AD4" s="376">
        <f t="shared" si="3"/>
        <v>1170000</v>
      </c>
      <c r="AE4" s="376"/>
      <c r="AF4" s="323">
        <f>([6]segmenty!$H$34)*1000</f>
        <v>5471000</v>
      </c>
      <c r="AG4" s="167"/>
      <c r="AH4" s="376">
        <f t="shared" si="4"/>
        <v>2846000</v>
      </c>
      <c r="AI4" s="376"/>
      <c r="AJ4" s="323">
        <f>'[6]segmenty 3 m-ce'!$H$84*1000</f>
        <v>1197000</v>
      </c>
      <c r="AK4" s="167"/>
      <c r="AL4" s="376">
        <f t="shared" si="5"/>
        <v>495000</v>
      </c>
      <c r="AM4" s="376"/>
      <c r="AN4" s="323">
        <f>[7]segmenty!$H$34*1000</f>
        <v>4274000</v>
      </c>
      <c r="AO4" s="167"/>
      <c r="AP4" s="376">
        <f>[7]segmenty!$K$72*1000</f>
        <v>2351000</v>
      </c>
      <c r="AQ4" s="376"/>
      <c r="AR4" s="323">
        <f t="shared" si="6"/>
        <v>2044000</v>
      </c>
      <c r="AS4" s="167"/>
      <c r="AT4" s="376">
        <f t="shared" si="6"/>
        <v>396000</v>
      </c>
      <c r="AU4" s="376"/>
      <c r="AV4" s="323">
        <f>[8]segmenty!$H$34*1000</f>
        <v>2230000</v>
      </c>
      <c r="AW4" s="167"/>
      <c r="AX4" s="376">
        <f>[8]segmenty!$K$71*1000</f>
        <v>1955000</v>
      </c>
      <c r="AY4" s="376"/>
      <c r="AZ4" s="323">
        <v>4016000</v>
      </c>
      <c r="BA4" s="167"/>
      <c r="BB4" s="376">
        <v>4152000</v>
      </c>
      <c r="BC4" s="376"/>
      <c r="BD4" s="323">
        <f t="shared" si="7"/>
        <v>1170000</v>
      </c>
      <c r="BE4" s="167"/>
      <c r="BF4" s="376">
        <f t="shared" si="7"/>
        <v>445000</v>
      </c>
      <c r="BG4" s="376"/>
      <c r="BH4" s="323">
        <v>2846000</v>
      </c>
      <c r="BI4" s="167"/>
      <c r="BJ4" s="376">
        <v>3707000</v>
      </c>
      <c r="BK4" s="376"/>
      <c r="BL4" s="323">
        <v>495000</v>
      </c>
      <c r="BM4" s="167"/>
      <c r="BN4" s="376">
        <v>787000</v>
      </c>
      <c r="BO4" s="376"/>
      <c r="BP4" s="323">
        <v>2351000</v>
      </c>
      <c r="BQ4" s="167"/>
      <c r="BR4" s="376">
        <v>2920000</v>
      </c>
      <c r="BS4" s="376"/>
      <c r="BT4" s="323">
        <f t="shared" si="8"/>
        <v>396000</v>
      </c>
      <c r="BU4" s="167"/>
      <c r="BV4" s="376">
        <f t="shared" si="9"/>
        <v>1185000</v>
      </c>
      <c r="BW4" s="376"/>
      <c r="BX4" s="323">
        <v>1955000</v>
      </c>
      <c r="BY4" s="167"/>
      <c r="BZ4" s="376">
        <v>1735000</v>
      </c>
      <c r="CA4" s="376"/>
      <c r="CB4" s="323">
        <v>4152000</v>
      </c>
      <c r="CC4" s="167"/>
      <c r="CD4" s="376">
        <v>4226000</v>
      </c>
      <c r="CE4" s="376"/>
      <c r="CF4" s="323">
        <f t="shared" si="10"/>
        <v>446772</v>
      </c>
      <c r="CG4" s="167"/>
      <c r="CH4" s="376">
        <f t="shared" si="11"/>
        <v>811079</v>
      </c>
      <c r="CI4" s="376"/>
      <c r="CJ4" s="323">
        <v>3705228</v>
      </c>
      <c r="CK4" s="167"/>
      <c r="CL4" s="376">
        <v>3414921</v>
      </c>
      <c r="CM4" s="376"/>
      <c r="CN4" s="323">
        <f t="shared" si="12"/>
        <v>786578</v>
      </c>
      <c r="CO4" s="167"/>
      <c r="CP4" s="376">
        <f t="shared" si="13"/>
        <v>1007194</v>
      </c>
      <c r="CQ4" s="376"/>
      <c r="CR4" s="323">
        <v>2918650</v>
      </c>
      <c r="CS4" s="167"/>
      <c r="CT4" s="376">
        <v>2407727</v>
      </c>
      <c r="CU4" s="376"/>
      <c r="CV4" s="323">
        <f t="shared" si="14"/>
        <v>1183248</v>
      </c>
      <c r="CW4" s="167"/>
      <c r="CX4" s="376">
        <f t="shared" si="14"/>
        <v>1450326</v>
      </c>
      <c r="CY4" s="376"/>
      <c r="CZ4" s="323">
        <v>1735402</v>
      </c>
      <c r="DA4" s="167"/>
      <c r="DB4" s="376">
        <f t="shared" si="15"/>
        <v>957401</v>
      </c>
      <c r="DC4" s="376"/>
      <c r="DD4" s="323">
        <v>4222717</v>
      </c>
      <c r="DE4" s="167"/>
      <c r="DF4" s="376">
        <v>3599367</v>
      </c>
      <c r="DG4" s="376"/>
      <c r="DH4" s="323">
        <f t="shared" si="16"/>
        <v>809122</v>
      </c>
      <c r="DI4" s="167"/>
      <c r="DJ4" s="323">
        <f t="shared" si="17"/>
        <v>442786</v>
      </c>
      <c r="DK4" s="13"/>
      <c r="DL4" s="323">
        <v>3413595</v>
      </c>
      <c r="DM4" s="167"/>
      <c r="DN4" s="376">
        <v>3156581</v>
      </c>
      <c r="DO4" s="376"/>
      <c r="DP4" s="323">
        <f t="shared" si="18"/>
        <v>1005865</v>
      </c>
      <c r="DQ4" s="167"/>
      <c r="DR4" s="323">
        <f t="shared" si="18"/>
        <v>927805</v>
      </c>
      <c r="DS4" s="13"/>
      <c r="DT4" s="323">
        <v>2407730</v>
      </c>
      <c r="DU4" s="167"/>
      <c r="DV4" s="376">
        <v>2228776</v>
      </c>
      <c r="DW4" s="376"/>
      <c r="DX4" s="323">
        <v>1450329</v>
      </c>
      <c r="DY4" s="167"/>
      <c r="DZ4" s="376">
        <v>996452</v>
      </c>
      <c r="EA4" s="376"/>
      <c r="EB4" s="323">
        <v>957401</v>
      </c>
      <c r="EC4" s="167"/>
      <c r="ED4" s="376">
        <v>1232324</v>
      </c>
      <c r="EE4" s="376"/>
      <c r="EF4" s="355">
        <v>3599367</v>
      </c>
      <c r="EH4" s="376">
        <v>3492084</v>
      </c>
      <c r="EI4" s="357"/>
      <c r="EJ4" s="355">
        <v>582961</v>
      </c>
      <c r="EL4" s="376">
        <v>434973</v>
      </c>
      <c r="EM4" s="376"/>
      <c r="EN4" s="376">
        <v>3016406</v>
      </c>
      <c r="EO4" s="376"/>
      <c r="EP4" s="376">
        <v>3057111</v>
      </c>
      <c r="EQ4" s="357"/>
      <c r="ER4" s="376">
        <v>808041</v>
      </c>
      <c r="ES4" s="376"/>
      <c r="ET4" s="376">
        <v>795283</v>
      </c>
      <c r="EU4" s="376"/>
      <c r="EV4" s="357"/>
      <c r="EW4" s="376">
        <v>2208365</v>
      </c>
      <c r="EX4" s="376"/>
      <c r="EY4" s="376">
        <v>2261828</v>
      </c>
      <c r="EZ4" s="357"/>
      <c r="FA4" s="376">
        <v>996168</v>
      </c>
      <c r="FB4" s="376"/>
      <c r="FC4" s="376">
        <v>936172</v>
      </c>
      <c r="FD4" s="357"/>
      <c r="FE4" s="376">
        <v>1212197</v>
      </c>
      <c r="FF4" s="376"/>
      <c r="FG4" s="376">
        <v>1325656</v>
      </c>
      <c r="FH4" s="376"/>
      <c r="FI4" s="376">
        <v>3374926</v>
      </c>
      <c r="FJ4" s="376"/>
      <c r="FK4" s="376">
        <v>3617641</v>
      </c>
      <c r="FL4" s="357"/>
      <c r="FM4" s="376">
        <v>403331</v>
      </c>
      <c r="FN4" s="376"/>
      <c r="FO4" s="376">
        <v>670921</v>
      </c>
      <c r="FP4" s="357"/>
      <c r="FQ4" s="376">
        <v>2971595</v>
      </c>
      <c r="FR4" s="376"/>
      <c r="FS4" s="376">
        <v>2946720</v>
      </c>
      <c r="FT4" s="357"/>
      <c r="FU4" s="376">
        <v>777711</v>
      </c>
      <c r="FV4" s="376"/>
      <c r="FW4" s="376">
        <v>794410</v>
      </c>
      <c r="FX4" s="13"/>
      <c r="FY4" s="167">
        <v>2193884</v>
      </c>
      <c r="FZ4" s="167"/>
      <c r="GA4" s="167">
        <v>2152310</v>
      </c>
      <c r="GB4" s="189"/>
      <c r="GC4" s="167">
        <v>901641</v>
      </c>
      <c r="GD4" s="167"/>
      <c r="GE4" s="167">
        <v>929828</v>
      </c>
      <c r="GF4" s="189"/>
      <c r="GG4" s="191">
        <v>1292243</v>
      </c>
      <c r="GH4" s="167"/>
      <c r="GI4" s="167">
        <v>1222482</v>
      </c>
      <c r="GJ4" s="14"/>
      <c r="GK4" s="191">
        <v>3544591</v>
      </c>
      <c r="GL4" s="167"/>
      <c r="GM4" s="167">
        <v>3336814</v>
      </c>
      <c r="GN4" s="189"/>
      <c r="GO4" s="191">
        <v>667406</v>
      </c>
      <c r="GP4" s="167"/>
      <c r="GQ4" s="167">
        <v>876288</v>
      </c>
      <c r="GR4" s="189"/>
      <c r="GS4" s="191">
        <f>GW4-HA4</f>
        <v>783205</v>
      </c>
      <c r="GT4" s="167"/>
      <c r="GU4" s="167">
        <f>GY4-HC4</f>
        <v>797351</v>
      </c>
      <c r="GV4" s="189"/>
      <c r="GW4" s="191">
        <v>2877185</v>
      </c>
      <c r="GX4" s="167"/>
      <c r="GY4" s="167">
        <v>2460526</v>
      </c>
      <c r="GZ4" s="189"/>
      <c r="HA4" s="191">
        <v>2093980</v>
      </c>
      <c r="HB4" s="167"/>
      <c r="HC4" s="167">
        <v>1663175</v>
      </c>
      <c r="HD4" s="189"/>
      <c r="HE4" s="191">
        <f>HA4-HI4</f>
        <v>908739</v>
      </c>
      <c r="HF4" s="167"/>
      <c r="HG4" s="167">
        <f>HC4-HK4</f>
        <v>789064</v>
      </c>
      <c r="HH4" s="189"/>
      <c r="HI4" s="191">
        <v>1185241</v>
      </c>
      <c r="HJ4" s="167"/>
      <c r="HK4" s="167">
        <v>874111</v>
      </c>
      <c r="HL4" s="189"/>
      <c r="HM4" s="191">
        <v>3336814</v>
      </c>
      <c r="HN4" s="167"/>
      <c r="HO4" s="167">
        <v>3523228</v>
      </c>
      <c r="HP4" s="189"/>
      <c r="HQ4" s="189"/>
      <c r="HR4" s="191">
        <v>879302</v>
      </c>
      <c r="HS4" s="167"/>
      <c r="HT4" s="167">
        <v>682152</v>
      </c>
      <c r="HU4" s="191"/>
      <c r="HV4" s="191">
        <v>2457512</v>
      </c>
      <c r="HW4" s="167"/>
      <c r="HX4" s="167">
        <v>2841076</v>
      </c>
      <c r="HY4" s="189"/>
      <c r="HZ4" s="189"/>
      <c r="IA4" s="191">
        <v>804106</v>
      </c>
      <c r="IB4" s="167"/>
      <c r="IC4" s="167">
        <v>933204</v>
      </c>
      <c r="ID4" s="189"/>
      <c r="IE4" s="189"/>
      <c r="IF4" s="191">
        <v>1653406</v>
      </c>
      <c r="IG4" s="167"/>
      <c r="IH4" s="167">
        <v>1907872</v>
      </c>
      <c r="II4" s="189"/>
      <c r="IJ4" s="189"/>
      <c r="IK4" s="191">
        <v>780493</v>
      </c>
      <c r="IL4" s="167"/>
      <c r="IM4" s="167">
        <v>892937</v>
      </c>
      <c r="IN4" s="189"/>
      <c r="IO4" s="191">
        <v>872913</v>
      </c>
      <c r="IP4" s="167"/>
      <c r="IQ4" s="167">
        <v>1014935</v>
      </c>
      <c r="IR4" s="189"/>
      <c r="IS4" s="167">
        <v>3523303</v>
      </c>
      <c r="IT4" s="189"/>
      <c r="IU4" s="167">
        <v>3694544</v>
      </c>
      <c r="IV4" s="189"/>
      <c r="IW4" s="167">
        <v>682227</v>
      </c>
      <c r="IX4" s="189"/>
      <c r="IY4" s="167">
        <v>769168</v>
      </c>
      <c r="IZ4" s="189"/>
      <c r="JA4" s="167">
        <v>2841076</v>
      </c>
      <c r="JB4" s="167"/>
      <c r="JC4" s="167">
        <v>2925376</v>
      </c>
      <c r="JD4" s="167"/>
      <c r="JE4" s="167">
        <v>933204</v>
      </c>
      <c r="JF4" s="167"/>
      <c r="JG4" s="167">
        <v>920761</v>
      </c>
      <c r="JH4" s="167"/>
      <c r="JI4" s="167">
        <v>1914860</v>
      </c>
      <c r="JJ4" s="167"/>
      <c r="JK4" s="167">
        <v>1994598</v>
      </c>
      <c r="JL4" s="167"/>
      <c r="JM4" s="167">
        <v>894004</v>
      </c>
      <c r="JN4" s="167"/>
      <c r="JO4" s="167">
        <v>906390</v>
      </c>
      <c r="JP4" s="167"/>
      <c r="JQ4" s="167">
        <v>1020856</v>
      </c>
      <c r="JR4" s="167"/>
      <c r="JS4" s="167">
        <v>1088208</v>
      </c>
      <c r="JT4" s="167"/>
      <c r="JU4" s="167">
        <v>3627100</v>
      </c>
      <c r="JV4" s="167"/>
      <c r="JW4" s="167">
        <v>3661484</v>
      </c>
      <c r="JX4" s="167"/>
      <c r="JY4" s="167">
        <v>711791</v>
      </c>
      <c r="JZ4" s="167"/>
      <c r="KA4" s="167">
        <v>660767</v>
      </c>
      <c r="KB4" s="167"/>
      <c r="KC4" s="167">
        <v>2915309</v>
      </c>
      <c r="KD4" s="157"/>
      <c r="KE4" s="167">
        <v>3000717</v>
      </c>
      <c r="KF4" s="157"/>
      <c r="KG4" s="167">
        <v>920711</v>
      </c>
      <c r="KH4" s="157"/>
      <c r="KI4" s="167">
        <v>947054</v>
      </c>
      <c r="KJ4" s="157"/>
      <c r="KK4" s="167">
        <v>1994598</v>
      </c>
      <c r="KL4" s="157"/>
      <c r="KM4" s="167">
        <v>2053663</v>
      </c>
      <c r="KN4" s="157"/>
      <c r="KO4" s="167">
        <v>906390</v>
      </c>
      <c r="KP4" s="157"/>
      <c r="KQ4" s="167">
        <v>831507</v>
      </c>
      <c r="KR4" s="157"/>
      <c r="KS4" s="167">
        <v>1088208</v>
      </c>
      <c r="KT4" s="157"/>
      <c r="KU4" s="167">
        <v>1222156</v>
      </c>
      <c r="KV4" s="157"/>
      <c r="KW4" s="157"/>
      <c r="KX4" s="157"/>
      <c r="KY4" s="157"/>
      <c r="KZ4" s="157"/>
      <c r="LA4" s="157"/>
      <c r="LB4" s="157"/>
      <c r="LC4" s="157"/>
      <c r="LD4" s="157"/>
      <c r="LE4" s="157"/>
      <c r="LF4" s="157"/>
      <c r="LG4" s="157"/>
      <c r="LH4" s="157"/>
      <c r="LI4" s="157"/>
      <c r="LJ4" s="157"/>
      <c r="LK4" s="157"/>
      <c r="LL4" s="157"/>
      <c r="LM4" s="157"/>
      <c r="LN4" s="157"/>
      <c r="LO4" s="157"/>
      <c r="LP4" s="157"/>
      <c r="LQ4" s="157"/>
      <c r="LR4" s="157"/>
      <c r="LS4" s="157"/>
      <c r="LT4" s="157"/>
      <c r="LU4" s="157"/>
      <c r="LV4" s="157"/>
      <c r="LW4" s="157"/>
      <c r="LX4" s="157"/>
      <c r="LY4" s="157"/>
      <c r="LZ4" s="157"/>
      <c r="MA4" s="157"/>
      <c r="MB4" s="157"/>
      <c r="MC4" s="157"/>
      <c r="MD4" s="157"/>
      <c r="ME4" s="157"/>
      <c r="MF4" s="157"/>
      <c r="MG4" s="157"/>
      <c r="MH4" s="157"/>
      <c r="MI4" s="157"/>
      <c r="MJ4" s="157"/>
      <c r="MK4" s="157"/>
      <c r="ML4" s="157"/>
      <c r="MM4" s="157"/>
      <c r="MN4" s="157"/>
      <c r="MO4" s="157"/>
      <c r="MP4" s="157"/>
      <c r="MQ4" s="157"/>
      <c r="MR4" s="157"/>
      <c r="MS4" s="157"/>
      <c r="MT4" s="157"/>
      <c r="MU4" s="157"/>
      <c r="MV4" s="157"/>
      <c r="MW4" s="157"/>
      <c r="MX4" s="157"/>
      <c r="MY4" s="157"/>
      <c r="MZ4" s="157"/>
      <c r="NA4" s="157"/>
      <c r="NB4" s="157"/>
      <c r="NC4" s="157"/>
      <c r="ND4" s="157"/>
      <c r="NE4" s="157"/>
      <c r="NF4" s="157"/>
      <c r="NG4" s="157"/>
      <c r="NH4" s="157"/>
      <c r="NI4" s="157"/>
      <c r="NJ4" s="157"/>
      <c r="NK4" s="157"/>
      <c r="NL4" s="157"/>
      <c r="NM4" s="157"/>
      <c r="NN4" s="157"/>
      <c r="NO4" s="157"/>
      <c r="NP4" s="157"/>
      <c r="NQ4" s="157"/>
      <c r="NR4" s="157"/>
      <c r="NS4" s="157"/>
      <c r="NT4" s="157"/>
      <c r="NU4" s="157"/>
    </row>
    <row r="5" spans="1:385">
      <c r="A5" s="7" t="s">
        <v>49</v>
      </c>
      <c r="B5" s="13" t="s">
        <v>373</v>
      </c>
      <c r="C5" s="376"/>
      <c r="D5" s="323">
        <f>([3]segmenty!$I$19)*1000</f>
        <v>-207000</v>
      </c>
      <c r="E5" s="167"/>
      <c r="F5" s="323">
        <f>AF5</f>
        <v>2263000</v>
      </c>
      <c r="G5" s="376"/>
      <c r="H5" s="323">
        <f>D5-L5</f>
        <v>636000</v>
      </c>
      <c r="I5" s="167"/>
      <c r="J5" s="323">
        <f>F5-N5</f>
        <v>387000</v>
      </c>
      <c r="K5" s="376"/>
      <c r="L5" s="323">
        <v>-843000</v>
      </c>
      <c r="M5" s="167"/>
      <c r="N5" s="323">
        <v>1876000</v>
      </c>
      <c r="O5" s="376"/>
      <c r="P5" s="323">
        <f t="shared" si="0"/>
        <v>-1374000</v>
      </c>
      <c r="Q5" s="167"/>
      <c r="R5" s="323">
        <f t="shared" si="0"/>
        <v>840000</v>
      </c>
      <c r="S5" s="167"/>
      <c r="T5" s="323">
        <f>[4]segmenty!$H$19*1000</f>
        <v>531000</v>
      </c>
      <c r="U5" s="167"/>
      <c r="V5" s="376">
        <f>[4]segmenty!$H$57*1000</f>
        <v>1036000</v>
      </c>
      <c r="W5" s="167"/>
      <c r="X5" s="323">
        <f>[5]segmenty!$H$19*1000</f>
        <v>1678000</v>
      </c>
      <c r="Y5" s="167"/>
      <c r="Z5" s="376">
        <f t="shared" si="1"/>
        <v>-134000</v>
      </c>
      <c r="AA5" s="376"/>
      <c r="AB5" s="323">
        <f t="shared" si="2"/>
        <v>-585000</v>
      </c>
      <c r="AC5" s="167"/>
      <c r="AD5" s="376">
        <f t="shared" si="3"/>
        <v>-531000</v>
      </c>
      <c r="AE5" s="376"/>
      <c r="AF5" s="323">
        <f>([6]segmenty!$H$19)*1000</f>
        <v>2263000</v>
      </c>
      <c r="AG5" s="167"/>
      <c r="AH5" s="376">
        <f t="shared" si="4"/>
        <v>397000</v>
      </c>
      <c r="AI5" s="376"/>
      <c r="AJ5" s="323">
        <f>'[6]segmenty 3 m-ce'!$H$79*1000</f>
        <v>387000</v>
      </c>
      <c r="AK5" s="167"/>
      <c r="AL5" s="376">
        <f t="shared" si="5"/>
        <v>-232000</v>
      </c>
      <c r="AM5" s="376"/>
      <c r="AN5" s="323">
        <f>[7]segmenty!$H$19*1000</f>
        <v>1876000</v>
      </c>
      <c r="AO5" s="167"/>
      <c r="AP5" s="376">
        <f>[7]segmenty!$K$57*1000</f>
        <v>629000</v>
      </c>
      <c r="AQ5" s="376"/>
      <c r="AR5" s="323">
        <f t="shared" si="6"/>
        <v>840000</v>
      </c>
      <c r="AS5" s="167"/>
      <c r="AT5" s="376">
        <f t="shared" si="6"/>
        <v>-272000</v>
      </c>
      <c r="AU5" s="376"/>
      <c r="AV5" s="323">
        <f>[8]segmenty!$H$19*1000</f>
        <v>1036000</v>
      </c>
      <c r="AW5" s="167"/>
      <c r="AX5" s="376">
        <f>[8]segmenty!$K$57*1000</f>
        <v>901000</v>
      </c>
      <c r="AY5" s="376"/>
      <c r="AZ5" s="323">
        <v>-134000</v>
      </c>
      <c r="BA5" s="167"/>
      <c r="BB5" s="376">
        <v>385000</v>
      </c>
      <c r="BC5" s="376"/>
      <c r="BD5" s="323">
        <f t="shared" si="7"/>
        <v>-531000</v>
      </c>
      <c r="BE5" s="167"/>
      <c r="BF5" s="376">
        <f t="shared" si="7"/>
        <v>-112000</v>
      </c>
      <c r="BG5" s="376"/>
      <c r="BH5" s="323">
        <v>397000</v>
      </c>
      <c r="BI5" s="167"/>
      <c r="BJ5" s="376">
        <v>497000</v>
      </c>
      <c r="BK5" s="376"/>
      <c r="BL5" s="323">
        <v>-232000</v>
      </c>
      <c r="BM5" s="167"/>
      <c r="BN5" s="376">
        <v>115000</v>
      </c>
      <c r="BO5" s="376"/>
      <c r="BP5" s="323">
        <v>629000</v>
      </c>
      <c r="BQ5" s="167"/>
      <c r="BR5" s="376">
        <v>382000</v>
      </c>
      <c r="BS5" s="376"/>
      <c r="BT5" s="323">
        <f t="shared" si="8"/>
        <v>-272000</v>
      </c>
      <c r="BU5" s="167"/>
      <c r="BV5" s="376">
        <f t="shared" si="9"/>
        <v>-469000</v>
      </c>
      <c r="BW5" s="376"/>
      <c r="BX5" s="323">
        <v>901000</v>
      </c>
      <c r="BY5" s="167"/>
      <c r="BZ5" s="376">
        <v>851000</v>
      </c>
      <c r="CA5" s="376"/>
      <c r="CB5" s="323">
        <v>385000</v>
      </c>
      <c r="CC5" s="167"/>
      <c r="CD5" s="376">
        <v>-2173000</v>
      </c>
      <c r="CE5" s="376"/>
      <c r="CF5" s="323">
        <f t="shared" si="10"/>
        <v>-111534</v>
      </c>
      <c r="CG5" s="167"/>
      <c r="CH5" s="376">
        <f t="shared" si="11"/>
        <v>-2568279</v>
      </c>
      <c r="CI5" s="376"/>
      <c r="CJ5" s="323">
        <v>496534</v>
      </c>
      <c r="CK5" s="167"/>
      <c r="CL5" s="376">
        <v>395279</v>
      </c>
      <c r="CM5" s="376"/>
      <c r="CN5" s="323">
        <f t="shared" si="12"/>
        <v>114569</v>
      </c>
      <c r="CO5" s="167"/>
      <c r="CP5" s="376">
        <f t="shared" si="13"/>
        <v>368233</v>
      </c>
      <c r="CQ5" s="376"/>
      <c r="CR5" s="323">
        <v>381965</v>
      </c>
      <c r="CS5" s="167"/>
      <c r="CT5" s="376">
        <v>27046</v>
      </c>
      <c r="CU5" s="376"/>
      <c r="CV5" s="323">
        <f t="shared" si="14"/>
        <v>-468836</v>
      </c>
      <c r="CW5" s="167"/>
      <c r="CX5" s="376">
        <f t="shared" si="14"/>
        <v>-134429</v>
      </c>
      <c r="CY5" s="376"/>
      <c r="CZ5" s="323">
        <v>850801</v>
      </c>
      <c r="DA5" s="167"/>
      <c r="DB5" s="376">
        <f t="shared" si="15"/>
        <v>161475</v>
      </c>
      <c r="DC5" s="376"/>
      <c r="DD5" s="323">
        <v>-2487877</v>
      </c>
      <c r="DE5" s="167"/>
      <c r="DF5" s="376">
        <v>-11683</v>
      </c>
      <c r="DG5" s="376"/>
      <c r="DH5" s="323">
        <f t="shared" si="16"/>
        <v>-2547677</v>
      </c>
      <c r="DI5" s="167"/>
      <c r="DJ5" s="323">
        <f t="shared" si="17"/>
        <v>-986098</v>
      </c>
      <c r="DK5" s="13"/>
      <c r="DL5" s="323">
        <v>59800</v>
      </c>
      <c r="DM5" s="167"/>
      <c r="DN5" s="376">
        <v>974415</v>
      </c>
      <c r="DO5" s="376"/>
      <c r="DP5" s="323">
        <f t="shared" si="18"/>
        <v>376882</v>
      </c>
      <c r="DQ5" s="167"/>
      <c r="DR5" s="323">
        <f t="shared" si="18"/>
        <v>302029</v>
      </c>
      <c r="DS5" s="13"/>
      <c r="DT5" s="323">
        <v>-317082</v>
      </c>
      <c r="DU5" s="167"/>
      <c r="DV5" s="376">
        <v>672386</v>
      </c>
      <c r="DW5" s="376"/>
      <c r="DX5" s="323">
        <v>-478556.99999999994</v>
      </c>
      <c r="DY5" s="167"/>
      <c r="DZ5" s="376">
        <v>136624</v>
      </c>
      <c r="EA5" s="376"/>
      <c r="EB5" s="323">
        <v>161475</v>
      </c>
      <c r="EC5" s="167"/>
      <c r="ED5" s="376">
        <v>535762</v>
      </c>
      <c r="EE5" s="376"/>
      <c r="EF5" s="475">
        <v>-11683</v>
      </c>
      <c r="EH5" s="376">
        <v>207045</v>
      </c>
      <c r="EI5" s="357"/>
      <c r="EJ5" s="475">
        <v>-866174</v>
      </c>
      <c r="EL5" s="476">
        <v>-647835</v>
      </c>
      <c r="EM5" s="376"/>
      <c r="EN5" s="376">
        <v>854491</v>
      </c>
      <c r="EO5" s="376"/>
      <c r="EP5" s="376">
        <v>854880</v>
      </c>
      <c r="EQ5" s="357"/>
      <c r="ER5" s="376">
        <v>187551</v>
      </c>
      <c r="ES5" s="376"/>
      <c r="ET5" s="376">
        <v>286444</v>
      </c>
      <c r="EU5" s="376"/>
      <c r="EV5" s="357"/>
      <c r="EW5" s="376">
        <v>666940</v>
      </c>
      <c r="EX5" s="376"/>
      <c r="EY5" s="376">
        <v>568436</v>
      </c>
      <c r="EZ5" s="357"/>
      <c r="FA5" s="376">
        <v>142248</v>
      </c>
      <c r="FB5" s="376"/>
      <c r="FC5" s="376">
        <v>-68233</v>
      </c>
      <c r="FD5" s="357"/>
      <c r="FE5" s="376">
        <v>524692</v>
      </c>
      <c r="FF5" s="376"/>
      <c r="FG5" s="376">
        <v>636669</v>
      </c>
      <c r="FH5" s="376"/>
      <c r="FI5" s="376">
        <v>207045</v>
      </c>
      <c r="FJ5" s="376"/>
      <c r="FK5" s="376">
        <v>1382946</v>
      </c>
      <c r="FL5" s="357"/>
      <c r="FM5" s="376">
        <v>-647835</v>
      </c>
      <c r="FN5" s="376"/>
      <c r="FO5" s="376">
        <v>188716</v>
      </c>
      <c r="FP5" s="357"/>
      <c r="FQ5" s="376">
        <v>854880</v>
      </c>
      <c r="FR5" s="376"/>
      <c r="FS5" s="376">
        <v>1194230</v>
      </c>
      <c r="FT5" s="357"/>
      <c r="FU5" s="376">
        <v>286444</v>
      </c>
      <c r="FV5" s="376"/>
      <c r="FW5" s="376">
        <v>188753</v>
      </c>
      <c r="FX5" s="13"/>
      <c r="FY5" s="167">
        <v>568436</v>
      </c>
      <c r="FZ5" s="167"/>
      <c r="GA5" s="167">
        <v>1005477</v>
      </c>
      <c r="GB5" s="189"/>
      <c r="GC5" s="156">
        <v>-68233</v>
      </c>
      <c r="GD5" s="167"/>
      <c r="GE5" s="167">
        <v>364942</v>
      </c>
      <c r="GF5" s="189"/>
      <c r="GG5" s="191">
        <v>636669</v>
      </c>
      <c r="GH5" s="167"/>
      <c r="GI5" s="167">
        <v>640535</v>
      </c>
      <c r="GJ5" s="14"/>
      <c r="GK5" s="191">
        <v>1382946</v>
      </c>
      <c r="GL5" s="167"/>
      <c r="GM5" s="167">
        <v>370137</v>
      </c>
      <c r="GN5" s="189"/>
      <c r="GO5" s="191">
        <v>188716</v>
      </c>
      <c r="GP5" s="167"/>
      <c r="GQ5" s="167">
        <v>93809</v>
      </c>
      <c r="GR5" s="189"/>
      <c r="GS5" s="191">
        <f>GW5-HA5</f>
        <v>188753</v>
      </c>
      <c r="GT5" s="167"/>
      <c r="GU5" s="167">
        <f>GY5-HC5</f>
        <v>271611</v>
      </c>
      <c r="GV5" s="189"/>
      <c r="GW5" s="191">
        <v>1194230</v>
      </c>
      <c r="GX5" s="167"/>
      <c r="GY5" s="167">
        <v>276328</v>
      </c>
      <c r="GZ5" s="189"/>
      <c r="HA5" s="191">
        <v>1005477</v>
      </c>
      <c r="HB5" s="167"/>
      <c r="HC5" s="192">
        <v>4717</v>
      </c>
      <c r="HD5" s="189"/>
      <c r="HE5" s="191">
        <f>HA5-HI5</f>
        <v>364942</v>
      </c>
      <c r="HF5" s="167"/>
      <c r="HG5" s="192">
        <f>HC5-HK5</f>
        <v>-319089</v>
      </c>
      <c r="HH5" s="189"/>
      <c r="HI5" s="191">
        <v>640535</v>
      </c>
      <c r="HJ5" s="167"/>
      <c r="HK5" s="192">
        <v>323806</v>
      </c>
      <c r="HL5" s="189"/>
      <c r="HM5" s="191">
        <v>370137</v>
      </c>
      <c r="HN5" s="167"/>
      <c r="HO5" s="192">
        <v>-1804215</v>
      </c>
      <c r="HP5" s="189"/>
      <c r="HQ5" s="189"/>
      <c r="HR5" s="191">
        <v>94005</v>
      </c>
      <c r="HS5" s="167"/>
      <c r="HT5" s="192">
        <v>-2883370</v>
      </c>
      <c r="HU5" s="191"/>
      <c r="HV5" s="191">
        <v>276132</v>
      </c>
      <c r="HW5" s="167"/>
      <c r="HX5" s="167">
        <v>1079155</v>
      </c>
      <c r="HY5" s="189"/>
      <c r="HZ5" s="189"/>
      <c r="IA5" s="191">
        <v>271415</v>
      </c>
      <c r="IB5" s="167"/>
      <c r="IC5" s="167">
        <v>358768</v>
      </c>
      <c r="ID5" s="189"/>
      <c r="IE5" s="189"/>
      <c r="IF5" s="191">
        <v>4717</v>
      </c>
      <c r="IG5" s="167"/>
      <c r="IH5" s="167">
        <v>718524</v>
      </c>
      <c r="II5" s="189"/>
      <c r="IJ5" s="189"/>
      <c r="IK5" s="193">
        <v>-319089</v>
      </c>
      <c r="IL5" s="167"/>
      <c r="IM5" s="167">
        <v>216481</v>
      </c>
      <c r="IN5" s="189"/>
      <c r="IO5" s="191">
        <v>323806</v>
      </c>
      <c r="IP5" s="167"/>
      <c r="IQ5" s="167">
        <v>502730</v>
      </c>
      <c r="IR5" s="189"/>
      <c r="IS5" s="192">
        <v>-1804215</v>
      </c>
      <c r="IT5" s="189"/>
      <c r="IU5" s="167">
        <v>1185560</v>
      </c>
      <c r="IV5" s="189"/>
      <c r="IW5" s="192">
        <v>-2883370</v>
      </c>
      <c r="IX5" s="189"/>
      <c r="IY5" s="167">
        <v>132502</v>
      </c>
      <c r="IZ5" s="189"/>
      <c r="JA5" s="167">
        <v>1079155</v>
      </c>
      <c r="JB5" s="167"/>
      <c r="JC5" s="167">
        <v>1053058</v>
      </c>
      <c r="JD5" s="167"/>
      <c r="JE5" s="167">
        <v>358768</v>
      </c>
      <c r="JF5" s="167"/>
      <c r="JG5" s="167">
        <v>319136</v>
      </c>
      <c r="JH5" s="167"/>
      <c r="JI5" s="167">
        <v>720387</v>
      </c>
      <c r="JJ5" s="167"/>
      <c r="JK5" s="167">
        <v>733922</v>
      </c>
      <c r="JL5" s="167"/>
      <c r="JM5" s="167">
        <v>217657</v>
      </c>
      <c r="JN5" s="167"/>
      <c r="JO5" s="167">
        <v>335236</v>
      </c>
      <c r="JP5" s="167"/>
      <c r="JQ5" s="167">
        <v>502730</v>
      </c>
      <c r="JR5" s="167"/>
      <c r="JS5" s="167">
        <v>398686</v>
      </c>
      <c r="JT5" s="167"/>
      <c r="JU5" s="167">
        <v>1185560</v>
      </c>
      <c r="JV5" s="167"/>
      <c r="JW5" s="167">
        <v>1346485</v>
      </c>
      <c r="JX5" s="167"/>
      <c r="JY5" s="167">
        <v>283172</v>
      </c>
      <c r="JZ5" s="167"/>
      <c r="KA5" s="167">
        <v>220690</v>
      </c>
      <c r="KB5" s="167"/>
      <c r="KC5" s="167">
        <v>1053058</v>
      </c>
      <c r="KD5" s="157"/>
      <c r="KE5" s="167">
        <v>1264187</v>
      </c>
      <c r="KF5" s="157"/>
      <c r="KG5" s="167">
        <v>319136</v>
      </c>
      <c r="KH5" s="157"/>
      <c r="KI5" s="167">
        <v>372305</v>
      </c>
      <c r="KJ5" s="157"/>
      <c r="KK5" s="167">
        <v>733922</v>
      </c>
      <c r="KL5" s="157"/>
      <c r="KM5" s="167">
        <v>891882</v>
      </c>
      <c r="KN5" s="157"/>
      <c r="KO5" s="167">
        <v>335236</v>
      </c>
      <c r="KP5" s="157"/>
      <c r="KQ5" s="167">
        <v>311084</v>
      </c>
      <c r="KR5" s="157"/>
      <c r="KS5" s="167">
        <v>398686</v>
      </c>
      <c r="KT5" s="157"/>
      <c r="KU5" s="167">
        <v>580798</v>
      </c>
      <c r="KV5" s="157"/>
      <c r="KW5" s="157"/>
      <c r="KX5" s="157"/>
      <c r="KY5" s="157"/>
      <c r="KZ5" s="157"/>
      <c r="LA5" s="157"/>
      <c r="LB5" s="157"/>
      <c r="LC5" s="157"/>
      <c r="LD5" s="157"/>
      <c r="LE5" s="157"/>
      <c r="LF5" s="157"/>
      <c r="LG5" s="157"/>
      <c r="LH5" s="157"/>
      <c r="LI5" s="157"/>
      <c r="LJ5" s="157"/>
      <c r="LK5" s="157"/>
      <c r="LL5" s="157"/>
      <c r="LM5" s="157"/>
      <c r="LN5" s="157"/>
      <c r="LO5" s="157"/>
      <c r="LP5" s="157"/>
      <c r="LQ5" s="157"/>
      <c r="LR5" s="157"/>
      <c r="LS5" s="157"/>
      <c r="LT5" s="157"/>
      <c r="LU5" s="157"/>
      <c r="LV5" s="157"/>
      <c r="LW5" s="157"/>
      <c r="LX5" s="157"/>
      <c r="LY5" s="157"/>
      <c r="LZ5" s="157"/>
      <c r="MA5" s="157"/>
      <c r="MB5" s="157"/>
      <c r="MC5" s="157"/>
      <c r="MD5" s="157"/>
      <c r="ME5" s="157"/>
      <c r="MF5" s="157"/>
      <c r="MG5" s="157"/>
      <c r="MH5" s="157"/>
      <c r="MI5" s="157"/>
      <c r="MJ5" s="157"/>
      <c r="MK5" s="157"/>
      <c r="ML5" s="157"/>
      <c r="MM5" s="157"/>
      <c r="MN5" s="157"/>
      <c r="MO5" s="157"/>
      <c r="MP5" s="157"/>
      <c r="MQ5" s="157"/>
      <c r="MR5" s="157"/>
      <c r="MS5" s="157"/>
      <c r="MT5" s="157"/>
      <c r="MU5" s="157"/>
      <c r="MV5" s="157"/>
      <c r="MW5" s="157"/>
      <c r="MX5" s="157"/>
      <c r="MY5" s="157"/>
      <c r="MZ5" s="157"/>
      <c r="NA5" s="157"/>
      <c r="NB5" s="157"/>
      <c r="NC5" s="157"/>
      <c r="ND5" s="157"/>
      <c r="NE5" s="157"/>
      <c r="NF5" s="157"/>
      <c r="NG5" s="157"/>
      <c r="NH5" s="157"/>
      <c r="NI5" s="157"/>
      <c r="NJ5" s="157"/>
      <c r="NK5" s="157"/>
      <c r="NL5" s="157"/>
      <c r="NM5" s="157"/>
      <c r="NN5" s="157"/>
      <c r="NO5" s="157"/>
      <c r="NP5" s="157"/>
      <c r="NQ5" s="157"/>
      <c r="NR5" s="157"/>
      <c r="NS5" s="157"/>
      <c r="NT5" s="157"/>
      <c r="NU5" s="157"/>
    </row>
    <row r="6" spans="1:385">
      <c r="A6" s="7" t="s">
        <v>2</v>
      </c>
      <c r="B6" s="13" t="s">
        <v>373</v>
      </c>
      <c r="C6" s="376"/>
      <c r="D6" s="323">
        <f>([3]segmenty!$I$37)*1000</f>
        <v>3649000</v>
      </c>
      <c r="E6" s="167"/>
      <c r="F6" s="323">
        <f>AF6</f>
        <v>2887000</v>
      </c>
      <c r="G6" s="376"/>
      <c r="H6" s="323">
        <f>D6-L6</f>
        <v>1790000</v>
      </c>
      <c r="I6" s="167"/>
      <c r="J6" s="323">
        <f>F6-N6</f>
        <v>1022000</v>
      </c>
      <c r="K6" s="376"/>
      <c r="L6" s="323">
        <v>1859000</v>
      </c>
      <c r="M6" s="167"/>
      <c r="N6" s="323">
        <v>1865000</v>
      </c>
      <c r="O6" s="376"/>
      <c r="P6" s="323">
        <f t="shared" si="0"/>
        <v>1012000</v>
      </c>
      <c r="Q6" s="167"/>
      <c r="R6" s="323">
        <f t="shared" si="0"/>
        <v>1085000</v>
      </c>
      <c r="S6" s="167"/>
      <c r="T6" s="323">
        <f>[4]segmenty!$H$37*1000</f>
        <v>847000</v>
      </c>
      <c r="U6" s="167"/>
      <c r="V6" s="376">
        <f>[4]segmenty!$H$75*1000</f>
        <v>780000</v>
      </c>
      <c r="W6" s="167"/>
      <c r="X6" s="323">
        <f>[5]segmenty!$H$37*1000</f>
        <v>4364000</v>
      </c>
      <c r="Y6" s="167"/>
      <c r="Z6" s="376">
        <f t="shared" si="1"/>
        <v>3962000</v>
      </c>
      <c r="AA6" s="376"/>
      <c r="AB6" s="323">
        <f t="shared" si="2"/>
        <v>1477000</v>
      </c>
      <c r="AC6" s="167"/>
      <c r="AD6" s="376">
        <f t="shared" si="3"/>
        <v>1363000</v>
      </c>
      <c r="AE6" s="376"/>
      <c r="AF6" s="323">
        <f>([6]segmenty!$H$37)*1000</f>
        <v>2887000</v>
      </c>
      <c r="AG6" s="167"/>
      <c r="AH6" s="376">
        <f t="shared" si="4"/>
        <v>2599000</v>
      </c>
      <c r="AI6" s="376"/>
      <c r="AJ6" s="323">
        <f>'[6]segmenty 3 m-ce'!$H$87*1000</f>
        <v>1022000</v>
      </c>
      <c r="AK6" s="167"/>
      <c r="AL6" s="376">
        <f t="shared" si="5"/>
        <v>1118000</v>
      </c>
      <c r="AM6" s="376"/>
      <c r="AN6" s="323">
        <f>[7]segmenty!$H$37*1000</f>
        <v>1865000</v>
      </c>
      <c r="AO6" s="167"/>
      <c r="AP6" s="376">
        <f>[7]segmenty!$K$75*1000</f>
        <v>1481000</v>
      </c>
      <c r="AQ6" s="376"/>
      <c r="AR6" s="323">
        <f t="shared" si="6"/>
        <v>1085000</v>
      </c>
      <c r="AS6" s="167"/>
      <c r="AT6" s="376">
        <f t="shared" si="6"/>
        <v>871000</v>
      </c>
      <c r="AU6" s="376"/>
      <c r="AV6" s="323">
        <f>[8]segmenty!$H$37*1000</f>
        <v>780000</v>
      </c>
      <c r="AW6" s="167"/>
      <c r="AX6" s="376">
        <f>[8]segmenty!$K$74*1000</f>
        <v>610000</v>
      </c>
      <c r="AY6" s="376"/>
      <c r="AZ6" s="323">
        <v>3962000</v>
      </c>
      <c r="BA6" s="167"/>
      <c r="BB6" s="376">
        <v>2932000</v>
      </c>
      <c r="BC6" s="376"/>
      <c r="BD6" s="323">
        <f t="shared" si="7"/>
        <v>1363000</v>
      </c>
      <c r="BE6" s="167"/>
      <c r="BF6" s="376">
        <f t="shared" si="7"/>
        <v>970000</v>
      </c>
      <c r="BG6" s="376"/>
      <c r="BH6" s="323">
        <v>2599000</v>
      </c>
      <c r="BI6" s="167"/>
      <c r="BJ6" s="376">
        <v>1962000</v>
      </c>
      <c r="BK6" s="376"/>
      <c r="BL6" s="323">
        <v>1118000</v>
      </c>
      <c r="BM6" s="167"/>
      <c r="BN6" s="376">
        <v>676000</v>
      </c>
      <c r="BO6" s="376"/>
      <c r="BP6" s="323">
        <v>1481000</v>
      </c>
      <c r="BQ6" s="167"/>
      <c r="BR6" s="376">
        <v>1286000</v>
      </c>
      <c r="BS6" s="376"/>
      <c r="BT6" s="323">
        <f t="shared" si="8"/>
        <v>871000</v>
      </c>
      <c r="BU6" s="167"/>
      <c r="BV6" s="376">
        <f t="shared" si="9"/>
        <v>648000</v>
      </c>
      <c r="BW6" s="376"/>
      <c r="BX6" s="323">
        <v>610000</v>
      </c>
      <c r="BY6" s="167"/>
      <c r="BZ6" s="376">
        <v>638000</v>
      </c>
      <c r="CA6" s="376"/>
      <c r="CB6" s="323">
        <v>2932000</v>
      </c>
      <c r="CC6" s="167"/>
      <c r="CD6" s="376">
        <v>4039000</v>
      </c>
      <c r="CE6" s="376"/>
      <c r="CF6" s="323">
        <f t="shared" si="10"/>
        <v>968858</v>
      </c>
      <c r="CG6" s="167"/>
      <c r="CH6" s="376">
        <f t="shared" si="11"/>
        <v>1311397</v>
      </c>
      <c r="CI6" s="376"/>
      <c r="CJ6" s="323">
        <v>1963142</v>
      </c>
      <c r="CK6" s="167"/>
      <c r="CL6" s="376">
        <v>2727603</v>
      </c>
      <c r="CM6" s="376"/>
      <c r="CN6" s="323">
        <f t="shared" ref="CN6" si="19">CJ6-CR6</f>
        <v>676010</v>
      </c>
      <c r="CO6" s="167"/>
      <c r="CP6" s="376">
        <f t="shared" si="13"/>
        <v>915322</v>
      </c>
      <c r="CQ6" s="376"/>
      <c r="CR6" s="323">
        <v>1287132</v>
      </c>
      <c r="CS6" s="167"/>
      <c r="CT6" s="376">
        <v>1812281</v>
      </c>
      <c r="CU6" s="376"/>
      <c r="CV6" s="323">
        <f t="shared" si="14"/>
        <v>648184</v>
      </c>
      <c r="CW6" s="167"/>
      <c r="CX6" s="376">
        <f t="shared" si="14"/>
        <v>872439</v>
      </c>
      <c r="CY6" s="376"/>
      <c r="CZ6" s="323">
        <v>638948</v>
      </c>
      <c r="DA6" s="167"/>
      <c r="DB6" s="376">
        <f t="shared" si="15"/>
        <v>939842</v>
      </c>
      <c r="DC6" s="376"/>
      <c r="DD6" s="323">
        <v>4039294</v>
      </c>
      <c r="DE6" s="167"/>
      <c r="DF6" s="376">
        <v>4127891</v>
      </c>
      <c r="DG6" s="376"/>
      <c r="DH6" s="323">
        <f t="shared" si="16"/>
        <v>1311691</v>
      </c>
      <c r="DI6" s="167"/>
      <c r="DJ6" s="323">
        <f t="shared" si="17"/>
        <v>1386910</v>
      </c>
      <c r="DK6" s="13"/>
      <c r="DL6" s="323">
        <v>2727603</v>
      </c>
      <c r="DM6" s="167"/>
      <c r="DN6" s="376">
        <v>2740981</v>
      </c>
      <c r="DO6" s="376"/>
      <c r="DP6" s="323">
        <f t="shared" si="18"/>
        <v>915322</v>
      </c>
      <c r="DQ6" s="167"/>
      <c r="DR6" s="323">
        <f t="shared" si="18"/>
        <v>1098880</v>
      </c>
      <c r="DS6" s="13"/>
      <c r="DT6" s="323">
        <v>1812281</v>
      </c>
      <c r="DU6" s="167"/>
      <c r="DV6" s="376">
        <v>1642101</v>
      </c>
      <c r="DW6" s="376"/>
      <c r="DX6" s="323">
        <v>872439</v>
      </c>
      <c r="DY6" s="167"/>
      <c r="DZ6" s="376">
        <v>915557</v>
      </c>
      <c r="EA6" s="376"/>
      <c r="EB6" s="323">
        <v>939842</v>
      </c>
      <c r="EC6" s="167"/>
      <c r="ED6" s="376">
        <v>726544</v>
      </c>
      <c r="EE6" s="376"/>
      <c r="EF6" s="355">
        <v>4127891</v>
      </c>
      <c r="EH6" s="376">
        <v>3837860</v>
      </c>
      <c r="EI6" s="357"/>
      <c r="EJ6" s="355">
        <v>1386910</v>
      </c>
      <c r="EL6" s="376">
        <v>1393647</v>
      </c>
      <c r="EM6" s="376"/>
      <c r="EN6" s="376">
        <v>2740981</v>
      </c>
      <c r="EO6" s="376"/>
      <c r="EP6" s="376">
        <v>2444213</v>
      </c>
      <c r="EQ6" s="357"/>
      <c r="ER6" s="376">
        <v>1098880</v>
      </c>
      <c r="ES6" s="376"/>
      <c r="ET6" s="376">
        <v>883714</v>
      </c>
      <c r="EU6" s="376"/>
      <c r="EV6" s="357"/>
      <c r="EW6" s="376">
        <v>1642101</v>
      </c>
      <c r="EX6" s="376"/>
      <c r="EY6" s="376">
        <v>1560499</v>
      </c>
      <c r="EZ6" s="357"/>
      <c r="FA6" s="376">
        <v>915557</v>
      </c>
      <c r="FB6" s="376"/>
      <c r="FC6" s="376">
        <v>954016</v>
      </c>
      <c r="FD6" s="357"/>
      <c r="FE6" s="376">
        <v>726544</v>
      </c>
      <c r="FF6" s="376"/>
      <c r="FG6" s="376">
        <v>606483</v>
      </c>
      <c r="FH6" s="376"/>
      <c r="FI6" s="376">
        <v>3672005</v>
      </c>
      <c r="FJ6" s="376"/>
      <c r="FK6" s="376">
        <v>3474148</v>
      </c>
      <c r="FL6" s="357"/>
      <c r="FM6" s="376">
        <v>1347284</v>
      </c>
      <c r="FO6" s="376">
        <v>1256787</v>
      </c>
      <c r="FP6" s="357"/>
      <c r="FQ6" s="376">
        <v>2324721</v>
      </c>
      <c r="FR6" s="376"/>
      <c r="FS6" s="376">
        <v>2217361</v>
      </c>
      <c r="FT6" s="357"/>
      <c r="FU6" s="376">
        <v>844391</v>
      </c>
      <c r="FW6" s="376">
        <v>722119</v>
      </c>
      <c r="FX6" s="13"/>
      <c r="FY6" s="167">
        <v>1480330</v>
      </c>
      <c r="FZ6" s="167"/>
      <c r="GA6" s="167">
        <v>1495242</v>
      </c>
      <c r="GB6" s="189"/>
      <c r="GC6" s="167">
        <v>911630</v>
      </c>
      <c r="GE6" s="167">
        <v>859154</v>
      </c>
      <c r="GF6" s="189"/>
      <c r="GG6" s="191">
        <v>568700</v>
      </c>
      <c r="GH6" s="167"/>
      <c r="GI6" s="167">
        <v>636088</v>
      </c>
      <c r="GJ6" s="14"/>
      <c r="GK6" s="191">
        <v>3474148</v>
      </c>
      <c r="GL6" s="167"/>
      <c r="GM6" s="167">
        <v>3816811</v>
      </c>
      <c r="GN6" s="189"/>
      <c r="GO6" s="191">
        <v>1256787</v>
      </c>
      <c r="GP6" s="167"/>
      <c r="GQ6" s="167">
        <v>1366994</v>
      </c>
      <c r="GR6" s="189"/>
      <c r="GS6" s="191">
        <f>GW6-HA6</f>
        <v>722119</v>
      </c>
      <c r="GT6" s="167"/>
      <c r="GU6" s="167">
        <f>GY6-HC6</f>
        <v>997687</v>
      </c>
      <c r="GV6" s="189"/>
      <c r="GW6" s="191">
        <v>2217361</v>
      </c>
      <c r="GX6" s="167"/>
      <c r="GY6" s="167">
        <v>2449817</v>
      </c>
      <c r="GZ6" s="189"/>
      <c r="HA6" s="191">
        <v>1495242</v>
      </c>
      <c r="HB6" s="167"/>
      <c r="HC6" s="167">
        <v>1452130</v>
      </c>
      <c r="HD6" s="189"/>
      <c r="HE6" s="191">
        <f>HA6-HI6</f>
        <v>859154</v>
      </c>
      <c r="HF6" s="167"/>
      <c r="HG6" s="167">
        <f>HC6-HK6</f>
        <v>798407</v>
      </c>
      <c r="HH6" s="189"/>
      <c r="HI6" s="191">
        <v>636088</v>
      </c>
      <c r="HJ6" s="167"/>
      <c r="HK6" s="167">
        <v>653723</v>
      </c>
      <c r="HL6" s="189"/>
      <c r="HM6" s="191">
        <v>3816811</v>
      </c>
      <c r="HN6" s="167"/>
      <c r="HO6" s="167">
        <v>4175470</v>
      </c>
      <c r="HP6" s="189"/>
      <c r="HQ6" s="189"/>
      <c r="HR6" s="191">
        <v>1366994</v>
      </c>
      <c r="HS6" s="167"/>
      <c r="HT6" s="167">
        <v>1396598</v>
      </c>
      <c r="HU6" s="191"/>
      <c r="HV6" s="191">
        <v>2449817</v>
      </c>
      <c r="HW6" s="167"/>
      <c r="HX6" s="167">
        <v>2778872</v>
      </c>
      <c r="HY6" s="189"/>
      <c r="HZ6" s="189"/>
      <c r="IA6" s="191">
        <v>997687</v>
      </c>
      <c r="IB6" s="167"/>
      <c r="IC6" s="167">
        <v>1008145</v>
      </c>
      <c r="ID6" s="189"/>
      <c r="IE6" s="189"/>
      <c r="IF6" s="191">
        <v>1452130</v>
      </c>
      <c r="IG6" s="167"/>
      <c r="IH6" s="167">
        <v>1770727</v>
      </c>
      <c r="II6" s="189"/>
      <c r="IJ6" s="189"/>
      <c r="IK6" s="191">
        <v>798407</v>
      </c>
      <c r="IL6" s="167"/>
      <c r="IM6" s="167">
        <v>979049</v>
      </c>
      <c r="IN6" s="189"/>
      <c r="IO6" s="191">
        <v>653723</v>
      </c>
      <c r="IP6" s="167"/>
      <c r="IQ6" s="167">
        <v>791678</v>
      </c>
      <c r="IR6" s="189"/>
      <c r="IS6" s="167">
        <v>4175470</v>
      </c>
      <c r="IT6" s="189"/>
      <c r="IU6" s="167">
        <v>3089592</v>
      </c>
      <c r="IV6" s="189"/>
      <c r="IW6" s="167">
        <v>1396598</v>
      </c>
      <c r="IX6" s="189"/>
      <c r="IY6" s="167">
        <v>1079388</v>
      </c>
      <c r="IZ6" s="189"/>
      <c r="JA6" s="167">
        <v>2778872</v>
      </c>
      <c r="JB6" s="167"/>
      <c r="JC6" s="167">
        <v>2010204</v>
      </c>
      <c r="JD6" s="167"/>
      <c r="JE6" s="167">
        <v>1008145</v>
      </c>
      <c r="JF6" s="167"/>
      <c r="JG6" s="167">
        <v>760127</v>
      </c>
      <c r="JH6" s="167"/>
      <c r="JI6" s="167">
        <v>1770727</v>
      </c>
      <c r="JJ6" s="167"/>
      <c r="JK6" s="167">
        <v>1250077</v>
      </c>
      <c r="JL6" s="167"/>
      <c r="JM6" s="167">
        <v>979049</v>
      </c>
      <c r="JN6" s="167"/>
      <c r="JO6" s="167">
        <v>684767</v>
      </c>
      <c r="JP6" s="167"/>
      <c r="JQ6" s="167">
        <v>791678</v>
      </c>
      <c r="JR6" s="167"/>
      <c r="JS6" s="167">
        <v>565310</v>
      </c>
      <c r="JT6" s="167"/>
      <c r="JU6" s="167">
        <v>3089592</v>
      </c>
      <c r="JV6" s="194"/>
      <c r="JW6" s="167">
        <v>3779555</v>
      </c>
      <c r="JX6" s="194"/>
      <c r="JY6" s="167">
        <v>1079388</v>
      </c>
      <c r="JZ6" s="194"/>
      <c r="KA6" s="167">
        <v>1411162</v>
      </c>
      <c r="KB6" s="167"/>
      <c r="KC6" s="167">
        <v>2010204</v>
      </c>
      <c r="KD6" s="157"/>
      <c r="KE6" s="167">
        <v>2368393</v>
      </c>
      <c r="KF6" s="157"/>
      <c r="KG6" s="167">
        <v>760127</v>
      </c>
      <c r="KH6" s="157"/>
      <c r="KI6" s="167">
        <v>1018451</v>
      </c>
      <c r="KJ6" s="157"/>
      <c r="KK6" s="167">
        <v>1250077</v>
      </c>
      <c r="KL6" s="157"/>
      <c r="KM6" s="167">
        <v>1349942</v>
      </c>
      <c r="KN6" s="157"/>
      <c r="KO6" s="167">
        <v>684767</v>
      </c>
      <c r="KP6" s="157"/>
      <c r="KQ6" s="167">
        <v>809087</v>
      </c>
      <c r="KR6" s="157"/>
      <c r="KS6" s="167">
        <v>565310</v>
      </c>
      <c r="KT6" s="157"/>
      <c r="KU6" s="167">
        <v>540855</v>
      </c>
      <c r="KV6" s="157"/>
      <c r="KW6" s="157"/>
      <c r="KX6" s="157"/>
      <c r="KY6" s="157"/>
      <c r="KZ6" s="157"/>
      <c r="LA6" s="157"/>
      <c r="LB6" s="157"/>
      <c r="LC6" s="157"/>
      <c r="LD6" s="157"/>
      <c r="LE6" s="157"/>
      <c r="LF6" s="157"/>
      <c r="LG6" s="157"/>
      <c r="LH6" s="157"/>
      <c r="LI6" s="157"/>
      <c r="LJ6" s="157"/>
      <c r="LK6" s="157"/>
      <c r="LL6" s="157"/>
      <c r="LM6" s="157"/>
      <c r="LN6" s="157"/>
      <c r="LO6" s="157"/>
      <c r="LP6" s="157"/>
      <c r="LQ6" s="157"/>
      <c r="LR6" s="157"/>
      <c r="LS6" s="157"/>
      <c r="LT6" s="157"/>
      <c r="LU6" s="157"/>
      <c r="LV6" s="157"/>
      <c r="LW6" s="157"/>
      <c r="LX6" s="157"/>
      <c r="LY6" s="157"/>
      <c r="LZ6" s="157"/>
      <c r="MA6" s="157"/>
      <c r="MB6" s="157"/>
      <c r="MC6" s="157"/>
      <c r="MD6" s="157"/>
      <c r="ME6" s="157"/>
      <c r="MF6" s="157"/>
      <c r="MG6" s="157"/>
      <c r="MH6" s="157"/>
      <c r="MI6" s="157"/>
      <c r="MJ6" s="157"/>
      <c r="MK6" s="157"/>
      <c r="ML6" s="157"/>
      <c r="MM6" s="157"/>
      <c r="MN6" s="157"/>
      <c r="MO6" s="157"/>
      <c r="MP6" s="157"/>
      <c r="MQ6" s="157"/>
      <c r="MR6" s="157"/>
      <c r="MS6" s="157"/>
      <c r="MT6" s="157"/>
      <c r="MU6" s="157"/>
      <c r="MV6" s="157"/>
      <c r="MW6" s="157"/>
      <c r="MX6" s="157"/>
      <c r="MY6" s="157"/>
      <c r="MZ6" s="157"/>
      <c r="NA6" s="157"/>
      <c r="NB6" s="157"/>
      <c r="NC6" s="157"/>
      <c r="ND6" s="157"/>
      <c r="NE6" s="157"/>
      <c r="NF6" s="157"/>
      <c r="NG6" s="157"/>
      <c r="NH6" s="157"/>
      <c r="NI6" s="157"/>
      <c r="NJ6" s="157"/>
      <c r="NK6" s="157"/>
      <c r="NL6" s="157"/>
      <c r="NM6" s="157"/>
      <c r="NN6" s="157"/>
      <c r="NO6" s="157"/>
      <c r="NP6" s="157"/>
      <c r="NQ6" s="157"/>
      <c r="NR6" s="157"/>
      <c r="NS6" s="157"/>
      <c r="NT6" s="157"/>
      <c r="NU6" s="157"/>
    </row>
    <row r="7" spans="1:385">
      <c r="A7" s="16" t="s">
        <v>50</v>
      </c>
      <c r="B7" s="17"/>
      <c r="C7" s="142"/>
      <c r="D7" s="679">
        <v>2.4</v>
      </c>
      <c r="E7" s="678"/>
      <c r="F7" s="679">
        <f>AF7</f>
        <v>1.61</v>
      </c>
      <c r="G7" s="142"/>
      <c r="H7" s="679">
        <f>D7</f>
        <v>2.4</v>
      </c>
      <c r="I7" s="678"/>
      <c r="J7" s="679">
        <f>F7</f>
        <v>1.61</v>
      </c>
      <c r="K7" s="142"/>
      <c r="L7" s="679">
        <v>2.1</v>
      </c>
      <c r="M7" s="678"/>
      <c r="N7" s="679">
        <f>AN7</f>
        <v>2.04</v>
      </c>
      <c r="O7" s="142"/>
      <c r="P7" s="679">
        <f>L7</f>
        <v>2.1</v>
      </c>
      <c r="Q7" s="678"/>
      <c r="R7" s="679">
        <f>N7</f>
        <v>2.04</v>
      </c>
      <c r="S7" s="678"/>
      <c r="T7" s="679">
        <v>2.2000000000000002</v>
      </c>
      <c r="U7" s="678"/>
      <c r="V7" s="680">
        <v>3.2</v>
      </c>
      <c r="W7" s="196"/>
      <c r="X7" s="380">
        <v>2.11</v>
      </c>
      <c r="Y7" s="196"/>
      <c r="Z7" s="139">
        <f t="shared" si="1"/>
        <v>2.93</v>
      </c>
      <c r="AA7" s="142"/>
      <c r="AB7" s="380">
        <v>2.11</v>
      </c>
      <c r="AC7" s="196"/>
      <c r="AD7" s="139">
        <f t="shared" si="3"/>
        <v>2.93</v>
      </c>
      <c r="AE7" s="142"/>
      <c r="AF7" s="380">
        <v>1.61</v>
      </c>
      <c r="AG7" s="196"/>
      <c r="AH7" s="139">
        <f t="shared" si="4"/>
        <v>3.33</v>
      </c>
      <c r="AI7" s="142"/>
      <c r="AJ7" s="380">
        <v>1.61</v>
      </c>
      <c r="AK7" s="196"/>
      <c r="AL7" s="139">
        <f t="shared" si="5"/>
        <v>3.33</v>
      </c>
      <c r="AM7" s="142"/>
      <c r="AN7" s="380">
        <v>2.04</v>
      </c>
      <c r="AO7" s="196"/>
      <c r="AP7" s="139">
        <f>BP7</f>
        <v>2.86</v>
      </c>
      <c r="AQ7" s="142"/>
      <c r="AR7" s="380">
        <f>AN7</f>
        <v>2.04</v>
      </c>
      <c r="AS7" s="196"/>
      <c r="AT7" s="139">
        <f>AP7</f>
        <v>2.86</v>
      </c>
      <c r="AU7" s="142"/>
      <c r="AV7" s="380">
        <v>3.23</v>
      </c>
      <c r="AW7" s="196"/>
      <c r="AX7" s="139">
        <f>BT7</f>
        <v>2.59</v>
      </c>
      <c r="AY7" s="142"/>
      <c r="AZ7" s="380">
        <v>2.93</v>
      </c>
      <c r="BA7" s="196"/>
      <c r="BB7" s="139">
        <f>CB7</f>
        <v>2.44</v>
      </c>
      <c r="BC7" s="142"/>
      <c r="BD7" s="380">
        <f>AZ7</f>
        <v>2.93</v>
      </c>
      <c r="BE7" s="196"/>
      <c r="BF7" s="380">
        <f>BB7</f>
        <v>2.44</v>
      </c>
      <c r="BG7" s="142"/>
      <c r="BH7" s="380">
        <v>3.33</v>
      </c>
      <c r="BI7" s="196"/>
      <c r="BJ7" s="139">
        <f>CJ7</f>
        <v>1.97</v>
      </c>
      <c r="BK7" s="142"/>
      <c r="BL7" s="380">
        <f>BH7</f>
        <v>3.33</v>
      </c>
      <c r="BM7" s="196"/>
      <c r="BN7" s="380">
        <f>BJ7</f>
        <v>1.97</v>
      </c>
      <c r="BO7" s="142"/>
      <c r="BP7" s="380">
        <v>2.86</v>
      </c>
      <c r="BQ7" s="196"/>
      <c r="BR7" s="139">
        <f>CR7</f>
        <v>2.06</v>
      </c>
      <c r="BS7" s="142"/>
      <c r="BT7" s="380">
        <v>2.59</v>
      </c>
      <c r="BU7" s="196"/>
      <c r="BV7" s="139">
        <f>CV7</f>
        <v>2.06</v>
      </c>
      <c r="BW7" s="142"/>
      <c r="BX7" s="380">
        <v>2.59</v>
      </c>
      <c r="BY7" s="196"/>
      <c r="BZ7" s="139">
        <f>CZ7</f>
        <v>1.96</v>
      </c>
      <c r="CA7" s="142"/>
      <c r="CB7" s="380">
        <v>2.44</v>
      </c>
      <c r="CC7" s="196"/>
      <c r="CD7" s="139">
        <f>DD7</f>
        <v>2.5099999999999998</v>
      </c>
      <c r="CE7" s="142"/>
      <c r="CF7" s="380">
        <f>CB7</f>
        <v>2.44</v>
      </c>
      <c r="CG7" s="196"/>
      <c r="CH7" s="139">
        <f>CD7</f>
        <v>2.5099999999999998</v>
      </c>
      <c r="CI7" s="142"/>
      <c r="CJ7" s="380">
        <v>1.97</v>
      </c>
      <c r="CK7" s="196"/>
      <c r="CL7" s="139">
        <f>DL7</f>
        <v>2.5299999999999998</v>
      </c>
      <c r="CM7" s="142"/>
      <c r="CN7" s="380">
        <f>CJ7</f>
        <v>1.97</v>
      </c>
      <c r="CO7" s="196"/>
      <c r="CP7" s="139">
        <f>CL7</f>
        <v>2.5299999999999998</v>
      </c>
      <c r="CQ7" s="142"/>
      <c r="CR7" s="380">
        <v>2.06</v>
      </c>
      <c r="CS7" s="196"/>
      <c r="CT7" s="139">
        <v>2.66</v>
      </c>
      <c r="CU7" s="142"/>
      <c r="CV7" s="380">
        <f>CR7</f>
        <v>2.06</v>
      </c>
      <c r="CW7" s="196"/>
      <c r="CX7" s="139">
        <f>CT7</f>
        <v>2.66</v>
      </c>
      <c r="CY7" s="142"/>
      <c r="CZ7" s="380">
        <v>1.96</v>
      </c>
      <c r="DA7" s="196"/>
      <c r="DB7" s="139">
        <f t="shared" si="15"/>
        <v>3.27</v>
      </c>
      <c r="DC7" s="142"/>
      <c r="DD7" s="380">
        <v>2.5099999999999998</v>
      </c>
      <c r="DE7" s="196"/>
      <c r="DF7" s="139">
        <f>EF7</f>
        <v>2.81</v>
      </c>
      <c r="DG7" s="142"/>
      <c r="DH7" s="380">
        <f>DD7</f>
        <v>2.5099999999999998</v>
      </c>
      <c r="DI7" s="196"/>
      <c r="DJ7" s="380">
        <f>DF7</f>
        <v>2.81</v>
      </c>
      <c r="DK7" s="17"/>
      <c r="DL7" s="380">
        <v>2.5299999999999998</v>
      </c>
      <c r="DM7" s="196"/>
      <c r="DN7" s="139">
        <f>EN7</f>
        <v>2.83</v>
      </c>
      <c r="DO7" s="142"/>
      <c r="DP7" s="380">
        <f>DL7</f>
        <v>2.5299999999999998</v>
      </c>
      <c r="DQ7" s="196"/>
      <c r="DR7" s="380">
        <f>DN7</f>
        <v>2.83</v>
      </c>
      <c r="DS7" s="17"/>
      <c r="DT7" s="380">
        <v>2.66</v>
      </c>
      <c r="DU7" s="196"/>
      <c r="DV7" s="139">
        <v>2.6</v>
      </c>
      <c r="DW7" s="142"/>
      <c r="DX7" s="380">
        <f>DT7</f>
        <v>2.66</v>
      </c>
      <c r="DY7" s="196"/>
      <c r="DZ7" s="139">
        <f>DV7</f>
        <v>2.6</v>
      </c>
      <c r="EA7" s="142"/>
      <c r="EB7" s="380">
        <v>3.27</v>
      </c>
      <c r="EC7" s="196"/>
      <c r="ED7" s="139">
        <v>2.74</v>
      </c>
      <c r="EE7" s="142"/>
      <c r="EF7" s="392">
        <v>2.81</v>
      </c>
      <c r="EG7" s="377"/>
      <c r="EH7" s="139">
        <v>2.4500000000000002</v>
      </c>
      <c r="EI7" s="357"/>
      <c r="EJ7" s="392">
        <v>2.81</v>
      </c>
      <c r="EK7" s="377"/>
      <c r="EL7" s="139">
        <v>2.4500000000000002</v>
      </c>
      <c r="EM7" s="142"/>
      <c r="EN7" s="477">
        <v>2.83</v>
      </c>
      <c r="EO7" s="377"/>
      <c r="EP7" s="139">
        <v>2.2400000000000002</v>
      </c>
      <c r="EQ7" s="357"/>
      <c r="ER7" s="477">
        <v>2.83</v>
      </c>
      <c r="ES7" s="377"/>
      <c r="ET7" s="139">
        <v>2.2400000000000002</v>
      </c>
      <c r="EU7" s="142"/>
      <c r="EV7" s="357"/>
      <c r="EW7" s="477">
        <v>2.6</v>
      </c>
      <c r="EX7" s="377"/>
      <c r="EY7" s="139">
        <v>2.2999999999999998</v>
      </c>
      <c r="EZ7" s="357"/>
      <c r="FA7" s="477">
        <v>2.6</v>
      </c>
      <c r="FB7" s="377"/>
      <c r="FC7" s="139">
        <v>2.2999999999999998</v>
      </c>
      <c r="FD7" s="357"/>
      <c r="FE7" s="477">
        <v>2.74</v>
      </c>
      <c r="FF7" s="377"/>
      <c r="FG7" s="139">
        <v>2.2799999999999998</v>
      </c>
      <c r="FH7" s="142"/>
      <c r="FI7" s="139">
        <v>2.54</v>
      </c>
      <c r="FJ7" s="377"/>
      <c r="FK7" s="381">
        <v>2.2400000000000002</v>
      </c>
      <c r="FL7" s="357"/>
      <c r="FM7" s="139">
        <v>2.54</v>
      </c>
      <c r="FN7" s="377"/>
      <c r="FO7" s="139">
        <v>2.2400000000000002</v>
      </c>
      <c r="FP7" s="357"/>
      <c r="FQ7" s="139">
        <v>2.2400000000000002</v>
      </c>
      <c r="FR7" s="377"/>
      <c r="FS7" s="139">
        <v>2.11</v>
      </c>
      <c r="FT7" s="357"/>
      <c r="FU7" s="139">
        <v>2.2400000000000002</v>
      </c>
      <c r="FV7" s="377"/>
      <c r="FW7" s="139">
        <v>2.11</v>
      </c>
      <c r="FX7" s="13"/>
      <c r="FY7" s="197">
        <v>2.2999999999999998</v>
      </c>
      <c r="FZ7" s="196"/>
      <c r="GA7" s="197">
        <v>2.17</v>
      </c>
      <c r="GB7" s="189"/>
      <c r="GC7" s="197">
        <v>2.2999999999999998</v>
      </c>
      <c r="GD7" s="196"/>
      <c r="GE7" s="197">
        <v>2.17</v>
      </c>
      <c r="GF7" s="189"/>
      <c r="GG7" s="195">
        <v>2.2799999999999998</v>
      </c>
      <c r="GH7" s="196"/>
      <c r="GI7" s="197">
        <v>2.31</v>
      </c>
      <c r="GJ7" s="15"/>
      <c r="GK7" s="195">
        <v>2.27</v>
      </c>
      <c r="GL7" s="196"/>
      <c r="GM7" s="197">
        <v>2.31</v>
      </c>
      <c r="GN7" s="198"/>
      <c r="GO7" s="195">
        <v>2.27</v>
      </c>
      <c r="GP7" s="196"/>
      <c r="GQ7" s="197">
        <v>2.31</v>
      </c>
      <c r="GR7" s="189"/>
      <c r="GS7" s="195">
        <f>GW7</f>
        <v>2.1098068375608405</v>
      </c>
      <c r="GT7" s="196"/>
      <c r="GU7" s="197">
        <f>GY7</f>
        <v>2.64</v>
      </c>
      <c r="GV7" s="198"/>
      <c r="GW7" s="195">
        <v>2.1098068375608405</v>
      </c>
      <c r="GX7" s="196"/>
      <c r="GY7" s="197">
        <v>2.64</v>
      </c>
      <c r="GZ7" s="189"/>
      <c r="HA7" s="195">
        <v>2.17</v>
      </c>
      <c r="HB7" s="196"/>
      <c r="HC7" s="197">
        <f>IF7</f>
        <v>2.577</v>
      </c>
      <c r="HD7" s="198"/>
      <c r="HE7" s="195">
        <f>HA7</f>
        <v>2.17</v>
      </c>
      <c r="HF7" s="196"/>
      <c r="HG7" s="197">
        <f>HC7</f>
        <v>2.577</v>
      </c>
      <c r="HH7" s="198"/>
      <c r="HI7" s="195">
        <v>2.31</v>
      </c>
      <c r="HJ7" s="196"/>
      <c r="HK7" s="197">
        <v>2.3199999999999998</v>
      </c>
      <c r="HL7" s="198"/>
      <c r="HM7" s="195">
        <v>2.3199999999999998</v>
      </c>
      <c r="HN7" s="196"/>
      <c r="HO7" s="197">
        <v>2.2000000000000002</v>
      </c>
      <c r="HP7" s="198"/>
      <c r="HQ7" s="198"/>
      <c r="HR7" s="195">
        <v>2.3199999999999998</v>
      </c>
      <c r="HS7" s="196"/>
      <c r="HT7" s="197">
        <v>2.2000000000000002</v>
      </c>
      <c r="HU7" s="199"/>
      <c r="HV7" s="195">
        <v>2.64</v>
      </c>
      <c r="HW7" s="196"/>
      <c r="HX7" s="197">
        <v>1.97</v>
      </c>
      <c r="HY7" s="198"/>
      <c r="HZ7" s="198"/>
      <c r="IA7" s="195">
        <v>2.64</v>
      </c>
      <c r="IB7" s="196"/>
      <c r="IC7" s="197">
        <v>1.97</v>
      </c>
      <c r="ID7" s="198"/>
      <c r="IE7" s="198"/>
      <c r="IF7" s="195">
        <v>2.577</v>
      </c>
      <c r="IG7" s="196"/>
      <c r="IH7" s="197">
        <v>1.97</v>
      </c>
      <c r="II7" s="198"/>
      <c r="IJ7" s="198"/>
      <c r="IK7" s="195">
        <v>2.577</v>
      </c>
      <c r="IL7" s="196"/>
      <c r="IM7" s="197">
        <v>1.97</v>
      </c>
      <c r="IN7" s="198"/>
      <c r="IO7" s="195">
        <v>2.5</v>
      </c>
      <c r="IP7" s="196"/>
      <c r="IQ7" s="197">
        <v>1.91</v>
      </c>
      <c r="IR7" s="198"/>
      <c r="IS7" s="197">
        <v>2.2000000000000002</v>
      </c>
      <c r="IT7" s="194"/>
      <c r="IU7" s="197">
        <v>1.8</v>
      </c>
      <c r="IV7" s="189"/>
      <c r="IW7" s="197">
        <v>2.2000000000000002</v>
      </c>
      <c r="IX7" s="189"/>
      <c r="IY7" s="197">
        <v>1.8</v>
      </c>
      <c r="IZ7" s="189"/>
      <c r="JA7" s="197">
        <v>1.97</v>
      </c>
      <c r="JB7" s="196"/>
      <c r="JC7" s="197">
        <v>1.73</v>
      </c>
      <c r="JD7" s="196"/>
      <c r="JE7" s="197">
        <v>1.97</v>
      </c>
      <c r="JF7" s="196"/>
      <c r="JG7" s="197">
        <v>1.73</v>
      </c>
      <c r="JH7" s="196"/>
      <c r="JI7" s="197">
        <v>1.9349940723994377</v>
      </c>
      <c r="JJ7" s="196"/>
      <c r="JK7" s="197">
        <v>1.68</v>
      </c>
      <c r="JL7" s="196"/>
      <c r="JM7" s="197">
        <v>1.9349940723994377</v>
      </c>
      <c r="JN7" s="196"/>
      <c r="JO7" s="197">
        <v>1.68</v>
      </c>
      <c r="JP7" s="196"/>
      <c r="JQ7" s="197">
        <v>1.91</v>
      </c>
      <c r="JR7" s="196"/>
      <c r="JS7" s="197">
        <v>1.68</v>
      </c>
      <c r="JT7" s="196"/>
      <c r="JU7" s="197">
        <v>1.85</v>
      </c>
      <c r="JV7" s="196"/>
      <c r="JW7" s="197">
        <v>1.43</v>
      </c>
      <c r="JX7" s="196"/>
      <c r="JY7" s="197">
        <v>1.85</v>
      </c>
      <c r="JZ7" s="196"/>
      <c r="KA7" s="197">
        <v>1.43</v>
      </c>
      <c r="KB7" s="194"/>
      <c r="KC7" s="197">
        <v>1.7279887062185715</v>
      </c>
      <c r="KD7" s="157"/>
      <c r="KE7" s="197">
        <v>1.1851646020713575</v>
      </c>
      <c r="KF7" s="157"/>
      <c r="KG7" s="197">
        <v>1.7279887062185715</v>
      </c>
      <c r="KH7" s="157"/>
      <c r="KI7" s="197">
        <v>1.1851646020713575</v>
      </c>
      <c r="KJ7" s="157"/>
      <c r="KK7" s="197">
        <v>1.68</v>
      </c>
      <c r="KL7" s="157"/>
      <c r="KM7" s="197">
        <v>1.31</v>
      </c>
      <c r="KN7" s="157"/>
      <c r="KO7" s="197">
        <v>1.68</v>
      </c>
      <c r="KP7" s="157"/>
      <c r="KQ7" s="197">
        <v>1.31</v>
      </c>
      <c r="KR7" s="157"/>
      <c r="KS7" s="197">
        <v>1.68</v>
      </c>
      <c r="KT7" s="157"/>
      <c r="KU7" s="197">
        <v>1.33</v>
      </c>
      <c r="KV7" s="157"/>
      <c r="KW7" s="157"/>
      <c r="KX7" s="157"/>
      <c r="KY7" s="157"/>
      <c r="KZ7" s="157"/>
      <c r="LA7" s="157"/>
      <c r="LB7" s="157"/>
      <c r="LC7" s="157"/>
      <c r="LD7" s="157"/>
      <c r="LE7" s="157"/>
      <c r="LF7" s="157"/>
      <c r="LG7" s="157"/>
      <c r="LH7" s="157"/>
      <c r="LI7" s="157"/>
      <c r="LJ7" s="157"/>
      <c r="LK7" s="157"/>
      <c r="LL7" s="157"/>
      <c r="LM7" s="157"/>
      <c r="LN7" s="157"/>
      <c r="LO7" s="157"/>
      <c r="LP7" s="157"/>
      <c r="LQ7" s="157"/>
      <c r="LR7" s="157"/>
      <c r="LS7" s="157"/>
      <c r="LT7" s="157"/>
      <c r="LU7" s="157"/>
      <c r="LV7" s="157"/>
      <c r="LW7" s="157"/>
      <c r="LX7" s="157"/>
      <c r="LY7" s="157"/>
      <c r="LZ7" s="157"/>
      <c r="MA7" s="157"/>
      <c r="MB7" s="157"/>
      <c r="MC7" s="157"/>
      <c r="MD7" s="157"/>
      <c r="ME7" s="157"/>
      <c r="MF7" s="157"/>
      <c r="MG7" s="157"/>
      <c r="MH7" s="157"/>
      <c r="MI7" s="157"/>
      <c r="MJ7" s="157"/>
      <c r="MK7" s="157"/>
      <c r="ML7" s="157"/>
      <c r="MM7" s="157"/>
      <c r="MN7" s="157"/>
      <c r="MO7" s="157"/>
      <c r="MP7" s="157"/>
      <c r="MQ7" s="157"/>
      <c r="MR7" s="157"/>
      <c r="MS7" s="157"/>
      <c r="MT7" s="157"/>
      <c r="MU7" s="157"/>
      <c r="MV7" s="157"/>
      <c r="MW7" s="157"/>
      <c r="MX7" s="157"/>
      <c r="MY7" s="157"/>
      <c r="MZ7" s="157"/>
      <c r="NA7" s="157"/>
      <c r="NB7" s="157"/>
      <c r="NC7" s="157"/>
      <c r="ND7" s="157"/>
      <c r="NE7" s="157"/>
      <c r="NF7" s="157"/>
      <c r="NG7" s="157"/>
      <c r="NH7" s="157"/>
      <c r="NI7" s="157"/>
      <c r="NJ7" s="157"/>
      <c r="NK7" s="157"/>
      <c r="NL7" s="157"/>
      <c r="NM7" s="157"/>
      <c r="NN7" s="157"/>
      <c r="NO7" s="157"/>
      <c r="NP7" s="157"/>
      <c r="NQ7" s="157"/>
      <c r="NR7" s="157"/>
      <c r="NS7" s="157"/>
      <c r="NT7" s="157"/>
      <c r="NU7" s="157"/>
    </row>
    <row r="8" spans="1:385">
      <c r="A8" s="7"/>
      <c r="B8" s="13"/>
      <c r="C8" s="357"/>
      <c r="D8" s="82"/>
      <c r="E8" s="196"/>
      <c r="F8" s="357"/>
      <c r="G8" s="357"/>
      <c r="H8" s="82"/>
      <c r="I8" s="196"/>
      <c r="J8" s="82"/>
      <c r="K8" s="357"/>
      <c r="L8" s="82"/>
      <c r="M8" s="196"/>
      <c r="N8" s="357"/>
      <c r="O8" s="357"/>
      <c r="P8" s="82"/>
      <c r="Q8" s="196"/>
      <c r="R8" s="82"/>
      <c r="S8" s="196"/>
      <c r="T8" s="82"/>
      <c r="U8" s="196"/>
      <c r="V8" s="357"/>
      <c r="W8" s="196"/>
      <c r="X8" s="82"/>
      <c r="Y8" s="196"/>
      <c r="Z8" s="357"/>
      <c r="AA8" s="357"/>
      <c r="AB8" s="82"/>
      <c r="AC8" s="196"/>
      <c r="AD8" s="357"/>
      <c r="AE8" s="357"/>
      <c r="AF8" s="82"/>
      <c r="AG8" s="196"/>
      <c r="AH8" s="357"/>
      <c r="AI8" s="357"/>
      <c r="AJ8" s="82"/>
      <c r="AK8" s="196"/>
      <c r="AL8" s="357"/>
      <c r="AM8" s="357"/>
      <c r="AN8" s="82"/>
      <c r="AO8" s="196"/>
      <c r="AP8" s="357"/>
      <c r="AQ8" s="357"/>
      <c r="AR8" s="82"/>
      <c r="AS8" s="196"/>
      <c r="AT8" s="357"/>
      <c r="AU8" s="357"/>
      <c r="AV8" s="82"/>
      <c r="AW8" s="196"/>
      <c r="AX8" s="357"/>
      <c r="AY8" s="357"/>
      <c r="AZ8" s="82"/>
      <c r="BA8" s="196"/>
      <c r="BB8" s="357"/>
      <c r="BC8" s="357"/>
      <c r="BD8" s="82"/>
      <c r="BE8" s="196"/>
      <c r="BF8" s="357"/>
      <c r="BG8" s="357"/>
      <c r="BH8" s="82"/>
      <c r="BI8" s="196"/>
      <c r="BJ8" s="357"/>
      <c r="BK8" s="357"/>
      <c r="BL8" s="82"/>
      <c r="BM8" s="196"/>
      <c r="BN8" s="357"/>
      <c r="BO8" s="357"/>
      <c r="BP8" s="82"/>
      <c r="BQ8" s="196"/>
      <c r="BR8" s="357"/>
      <c r="BS8" s="357"/>
      <c r="BT8" s="82"/>
      <c r="BU8" s="196"/>
      <c r="BV8" s="357"/>
      <c r="BW8" s="357"/>
      <c r="BX8" s="82"/>
      <c r="BY8" s="196"/>
      <c r="BZ8" s="357"/>
      <c r="CA8" s="357"/>
      <c r="CB8" s="82"/>
      <c r="CC8" s="196"/>
      <c r="CD8" s="357"/>
      <c r="CE8" s="357"/>
      <c r="CF8" s="82"/>
      <c r="CG8" s="196"/>
      <c r="CH8" s="357"/>
      <c r="CI8" s="357"/>
      <c r="CJ8" s="82"/>
      <c r="CK8" s="196"/>
      <c r="CL8" s="357"/>
      <c r="CM8" s="357"/>
      <c r="CN8" s="82"/>
      <c r="CO8" s="196"/>
      <c r="CP8" s="357"/>
      <c r="CQ8" s="357"/>
      <c r="CR8" s="82"/>
      <c r="CS8" s="196"/>
      <c r="CT8" s="357"/>
      <c r="CU8" s="357"/>
      <c r="CV8" s="82"/>
      <c r="CW8" s="196"/>
      <c r="CX8" s="357"/>
      <c r="CY8" s="357"/>
      <c r="CZ8" s="82"/>
      <c r="DA8" s="196"/>
      <c r="DB8" s="357"/>
      <c r="DC8" s="357"/>
      <c r="DD8" s="82"/>
      <c r="DE8" s="196"/>
      <c r="DF8" s="357"/>
      <c r="DG8" s="357"/>
      <c r="DH8" s="82"/>
      <c r="DI8" s="196"/>
      <c r="DJ8" s="357"/>
      <c r="DK8" s="13"/>
      <c r="DL8" s="82"/>
      <c r="DM8" s="196"/>
      <c r="DN8" s="357"/>
      <c r="DO8" s="357"/>
      <c r="DP8" s="82"/>
      <c r="DQ8" s="196"/>
      <c r="DR8" s="357"/>
      <c r="DS8" s="13"/>
      <c r="DT8" s="82"/>
      <c r="DU8" s="196"/>
      <c r="DV8" s="357"/>
      <c r="DW8" s="357"/>
      <c r="DX8" s="82"/>
      <c r="DY8" s="196"/>
      <c r="DZ8" s="357"/>
      <c r="EA8" s="357"/>
      <c r="EB8" s="82"/>
      <c r="EC8" s="196"/>
      <c r="ED8" s="357"/>
      <c r="EE8" s="357"/>
      <c r="EF8" s="357"/>
      <c r="EG8" s="377"/>
      <c r="EH8" s="357"/>
      <c r="EI8" s="357"/>
      <c r="EJ8" s="357"/>
      <c r="EK8" s="377"/>
      <c r="EL8" s="383"/>
      <c r="EM8" s="357"/>
      <c r="EN8" s="357"/>
      <c r="EO8" s="377"/>
      <c r="EP8" s="357"/>
      <c r="EQ8" s="357"/>
      <c r="ER8" s="357"/>
      <c r="ES8" s="377"/>
      <c r="ET8" s="357"/>
      <c r="EU8" s="357"/>
      <c r="EV8" s="357"/>
      <c r="EW8" s="357"/>
      <c r="EX8" s="377"/>
      <c r="EY8" s="357"/>
      <c r="EZ8" s="357"/>
      <c r="FA8" s="357"/>
      <c r="FB8" s="377"/>
      <c r="FC8" s="357"/>
      <c r="FD8" s="357"/>
      <c r="FE8" s="357"/>
      <c r="FF8" s="377"/>
      <c r="FG8" s="357"/>
      <c r="FH8" s="357"/>
      <c r="FI8" s="357"/>
      <c r="FJ8" s="377"/>
      <c r="FK8" s="357"/>
      <c r="FL8" s="357"/>
      <c r="FM8" s="357"/>
      <c r="FN8" s="377"/>
      <c r="FO8" s="357"/>
      <c r="FP8" s="357"/>
      <c r="FQ8" s="357"/>
      <c r="FR8" s="377"/>
      <c r="FS8" s="357"/>
      <c r="FT8" s="357"/>
      <c r="FU8" s="357"/>
      <c r="FV8" s="377"/>
      <c r="FW8" s="357"/>
      <c r="FX8" s="13"/>
      <c r="FY8" s="189"/>
      <c r="FZ8" s="196"/>
      <c r="GA8" s="189"/>
      <c r="GB8" s="189"/>
      <c r="GC8" s="189"/>
      <c r="GD8" s="196"/>
      <c r="GE8" s="189"/>
      <c r="GF8" s="189"/>
      <c r="GG8" s="189"/>
      <c r="GH8" s="196"/>
      <c r="GI8" s="189"/>
      <c r="GJ8" s="13"/>
      <c r="GK8" s="189"/>
      <c r="GL8" s="196"/>
      <c r="GM8" s="189"/>
      <c r="GN8" s="189"/>
      <c r="GO8" s="189"/>
      <c r="GP8" s="196"/>
      <c r="GQ8" s="189"/>
      <c r="GR8" s="189"/>
      <c r="GS8" s="189"/>
      <c r="GT8" s="196"/>
      <c r="GU8" s="189"/>
      <c r="GV8" s="189"/>
      <c r="GW8" s="189"/>
      <c r="GX8" s="196"/>
      <c r="GY8" s="189"/>
      <c r="GZ8" s="189"/>
      <c r="HA8" s="189"/>
      <c r="HB8" s="196"/>
      <c r="HC8" s="189"/>
      <c r="HD8" s="189"/>
      <c r="HE8" s="189"/>
      <c r="HF8" s="196"/>
      <c r="HG8" s="189"/>
      <c r="HH8" s="189"/>
      <c r="HI8" s="189"/>
      <c r="HJ8" s="196"/>
      <c r="HK8" s="189"/>
      <c r="HL8" s="189"/>
      <c r="HM8" s="189"/>
      <c r="HN8" s="196"/>
      <c r="HO8" s="189"/>
      <c r="HP8" s="189"/>
      <c r="HQ8" s="189"/>
      <c r="HR8" s="189"/>
      <c r="HS8" s="196"/>
      <c r="HT8" s="189"/>
      <c r="HU8" s="189"/>
      <c r="HV8" s="189"/>
      <c r="HW8" s="196"/>
      <c r="HX8" s="189"/>
      <c r="HY8" s="189"/>
      <c r="HZ8" s="189"/>
      <c r="IA8" s="189"/>
      <c r="IB8" s="196"/>
      <c r="IC8" s="189"/>
      <c r="ID8" s="189"/>
      <c r="IE8" s="189"/>
      <c r="IF8" s="189"/>
      <c r="IG8" s="196"/>
      <c r="IH8" s="189"/>
      <c r="II8" s="189"/>
      <c r="IJ8" s="189"/>
      <c r="IK8" s="189"/>
      <c r="IL8" s="196"/>
      <c r="IM8" s="189"/>
      <c r="IN8" s="189"/>
      <c r="IO8" s="189"/>
      <c r="IP8" s="196"/>
      <c r="IQ8" s="189"/>
      <c r="IR8" s="189"/>
      <c r="IS8" s="189"/>
      <c r="IT8" s="189"/>
      <c r="IU8" s="189"/>
      <c r="IV8" s="189"/>
      <c r="IW8" s="189"/>
      <c r="IX8" s="189"/>
      <c r="IY8" s="189"/>
      <c r="IZ8" s="189"/>
      <c r="JA8" s="189"/>
      <c r="JB8" s="196"/>
      <c r="JC8" s="189"/>
      <c r="JD8" s="196"/>
      <c r="JE8" s="189"/>
      <c r="JF8" s="196"/>
      <c r="JG8" s="189"/>
      <c r="JH8" s="196"/>
      <c r="JI8" s="189"/>
      <c r="JJ8" s="196"/>
      <c r="JK8" s="189"/>
      <c r="JL8" s="196"/>
      <c r="JM8" s="189"/>
      <c r="JN8" s="196"/>
      <c r="JO8" s="189"/>
      <c r="JP8" s="196"/>
      <c r="JQ8" s="189"/>
      <c r="JR8" s="196"/>
      <c r="JS8" s="189"/>
      <c r="JT8" s="196"/>
      <c r="JU8" s="200"/>
      <c r="JV8" s="196"/>
      <c r="JW8" s="200"/>
      <c r="JX8" s="196"/>
      <c r="JY8" s="200"/>
      <c r="JZ8" s="196"/>
      <c r="KA8" s="200"/>
      <c r="KB8" s="196"/>
      <c r="KC8" s="200"/>
      <c r="KD8" s="157"/>
      <c r="KE8" s="200"/>
      <c r="KF8" s="157"/>
      <c r="KG8" s="200"/>
      <c r="KH8" s="157"/>
      <c r="KI8" s="200"/>
      <c r="KJ8" s="157"/>
      <c r="KK8" s="200"/>
      <c r="KL8" s="157"/>
      <c r="KM8" s="200"/>
      <c r="KN8" s="157"/>
      <c r="KO8" s="200"/>
      <c r="KP8" s="157"/>
      <c r="KQ8" s="200"/>
      <c r="KR8" s="157"/>
      <c r="KS8" s="200"/>
      <c r="KT8" s="157"/>
      <c r="KU8" s="200"/>
      <c r="KV8" s="157"/>
      <c r="KW8" s="157"/>
      <c r="KX8" s="157"/>
      <c r="KY8" s="157"/>
      <c r="KZ8" s="157"/>
      <c r="LA8" s="157"/>
      <c r="LB8" s="157"/>
      <c r="LC8" s="157"/>
      <c r="LD8" s="157"/>
      <c r="LE8" s="157"/>
      <c r="LF8" s="157"/>
      <c r="LG8" s="157"/>
      <c r="LH8" s="157"/>
      <c r="LI8" s="157"/>
      <c r="LJ8" s="157"/>
      <c r="LK8" s="157"/>
      <c r="LL8" s="157"/>
      <c r="LM8" s="157"/>
      <c r="LN8" s="157"/>
      <c r="LO8" s="157"/>
      <c r="LP8" s="157"/>
      <c r="LQ8" s="157"/>
      <c r="LR8" s="157"/>
      <c r="LS8" s="157"/>
      <c r="LT8" s="157"/>
      <c r="LU8" s="157"/>
      <c r="LV8" s="157"/>
      <c r="LW8" s="157"/>
      <c r="LX8" s="157"/>
      <c r="LY8" s="157"/>
      <c r="LZ8" s="157"/>
      <c r="MA8" s="157"/>
      <c r="MB8" s="157"/>
      <c r="MC8" s="157"/>
      <c r="MD8" s="157"/>
      <c r="ME8" s="157"/>
      <c r="MF8" s="157"/>
      <c r="MG8" s="157"/>
      <c r="MH8" s="157"/>
      <c r="MI8" s="157"/>
      <c r="MJ8" s="157"/>
      <c r="MK8" s="157"/>
      <c r="ML8" s="157"/>
      <c r="MM8" s="157"/>
      <c r="MN8" s="157"/>
      <c r="MO8" s="157"/>
      <c r="MP8" s="157"/>
      <c r="MQ8" s="157"/>
      <c r="MR8" s="157"/>
      <c r="MS8" s="157"/>
      <c r="MT8" s="157"/>
      <c r="MU8" s="157"/>
      <c r="MV8" s="157"/>
      <c r="MW8" s="157"/>
      <c r="MX8" s="157"/>
      <c r="MY8" s="157"/>
      <c r="MZ8" s="157"/>
      <c r="NA8" s="157"/>
      <c r="NB8" s="157"/>
      <c r="NC8" s="157"/>
      <c r="ND8" s="157"/>
      <c r="NE8" s="157"/>
      <c r="NF8" s="157"/>
      <c r="NG8" s="157"/>
      <c r="NH8" s="157"/>
      <c r="NI8" s="157"/>
      <c r="NJ8" s="157"/>
      <c r="NK8" s="157"/>
      <c r="NL8" s="157"/>
      <c r="NM8" s="157"/>
      <c r="NN8" s="157"/>
      <c r="NO8" s="157"/>
      <c r="NP8" s="157"/>
      <c r="NQ8" s="157"/>
      <c r="NR8" s="157"/>
      <c r="NS8" s="157"/>
      <c r="NT8" s="157"/>
      <c r="NU8" s="157"/>
    </row>
    <row r="9" spans="1:385">
      <c r="A9" s="7"/>
      <c r="B9" s="13"/>
      <c r="C9" s="357"/>
      <c r="D9" s="82"/>
      <c r="E9" s="185"/>
      <c r="F9" s="357"/>
      <c r="G9" s="357"/>
      <c r="H9" s="82"/>
      <c r="I9" s="185"/>
      <c r="J9" s="82"/>
      <c r="K9" s="357"/>
      <c r="L9" s="82"/>
      <c r="M9" s="185"/>
      <c r="N9" s="357"/>
      <c r="O9" s="357"/>
      <c r="P9" s="82"/>
      <c r="Q9" s="185"/>
      <c r="R9" s="82"/>
      <c r="S9" s="185"/>
      <c r="T9" s="82"/>
      <c r="U9" s="185"/>
      <c r="V9" s="357"/>
      <c r="W9" s="185"/>
      <c r="X9" s="82"/>
      <c r="Y9" s="185"/>
      <c r="Z9" s="357"/>
      <c r="AA9" s="357"/>
      <c r="AB9" s="82"/>
      <c r="AC9" s="185"/>
      <c r="AD9" s="357"/>
      <c r="AE9" s="357"/>
      <c r="AF9" s="82"/>
      <c r="AG9" s="185"/>
      <c r="AH9" s="357"/>
      <c r="AI9" s="357"/>
      <c r="AJ9" s="82"/>
      <c r="AK9" s="185"/>
      <c r="AL9" s="357"/>
      <c r="AM9" s="357"/>
      <c r="AN9" s="82"/>
      <c r="AO9" s="185"/>
      <c r="AP9" s="357"/>
      <c r="AQ9" s="357"/>
      <c r="AR9" s="82"/>
      <c r="AS9" s="185"/>
      <c r="AT9" s="357"/>
      <c r="AU9" s="357"/>
      <c r="AV9" s="82"/>
      <c r="AW9" s="185"/>
      <c r="AX9" s="357"/>
      <c r="AY9" s="357"/>
      <c r="AZ9" s="82"/>
      <c r="BA9" s="185"/>
      <c r="BB9" s="357"/>
      <c r="BC9" s="357"/>
      <c r="BD9" s="82"/>
      <c r="BE9" s="185"/>
      <c r="BF9" s="357"/>
      <c r="BG9" s="357"/>
      <c r="BH9" s="82"/>
      <c r="BI9" s="185"/>
      <c r="BJ9" s="357"/>
      <c r="BK9" s="357"/>
      <c r="BL9" s="82"/>
      <c r="BM9" s="185"/>
      <c r="BN9" s="357"/>
      <c r="BO9" s="357"/>
      <c r="BP9" s="82"/>
      <c r="BQ9" s="185"/>
      <c r="BR9" s="357"/>
      <c r="BS9" s="357"/>
      <c r="BT9" s="82"/>
      <c r="BU9" s="185"/>
      <c r="BV9" s="357"/>
      <c r="BW9" s="357"/>
      <c r="BX9" s="82"/>
      <c r="BY9" s="185"/>
      <c r="BZ9" s="357"/>
      <c r="CA9" s="357"/>
      <c r="CB9" s="82"/>
      <c r="CC9" s="185"/>
      <c r="CD9" s="357"/>
      <c r="CE9" s="357"/>
      <c r="CF9" s="82"/>
      <c r="CG9" s="185"/>
      <c r="CH9" s="357"/>
      <c r="CI9" s="357"/>
      <c r="CJ9" s="82"/>
      <c r="CK9" s="185"/>
      <c r="CL9" s="357"/>
      <c r="CM9" s="357"/>
      <c r="CN9" s="82"/>
      <c r="CO9" s="185"/>
      <c r="CP9" s="357"/>
      <c r="CQ9" s="357"/>
      <c r="CR9" s="82"/>
      <c r="CS9" s="185"/>
      <c r="CT9" s="357"/>
      <c r="CU9" s="357"/>
      <c r="CV9" s="82"/>
      <c r="CW9" s="185"/>
      <c r="CX9" s="357"/>
      <c r="CY9" s="357"/>
      <c r="CZ9" s="82"/>
      <c r="DA9" s="185"/>
      <c r="DB9" s="357"/>
      <c r="DC9" s="357"/>
      <c r="DD9" s="82"/>
      <c r="DE9" s="185"/>
      <c r="DF9" s="357"/>
      <c r="DG9" s="357"/>
      <c r="DH9" s="82"/>
      <c r="DI9" s="185"/>
      <c r="DJ9" s="357"/>
      <c r="DK9" s="13"/>
      <c r="DL9" s="82"/>
      <c r="DM9" s="185"/>
      <c r="DN9" s="357"/>
      <c r="DO9" s="357"/>
      <c r="DP9" s="82"/>
      <c r="DQ9" s="185"/>
      <c r="DR9" s="357"/>
      <c r="DS9" s="13"/>
      <c r="DT9" s="82"/>
      <c r="DU9" s="185"/>
      <c r="DV9" s="357"/>
      <c r="DW9" s="357"/>
      <c r="DX9" s="82"/>
      <c r="DY9" s="185"/>
      <c r="DZ9" s="357"/>
      <c r="EA9" s="357"/>
      <c r="EB9" s="82"/>
      <c r="EC9" s="185"/>
      <c r="ED9" s="357"/>
      <c r="EE9" s="357"/>
      <c r="EF9" s="357"/>
      <c r="EG9" s="375"/>
      <c r="EH9" s="357"/>
      <c r="EI9" s="357"/>
      <c r="EJ9" s="357"/>
      <c r="EK9" s="375"/>
      <c r="EL9" s="383"/>
      <c r="EM9" s="357"/>
      <c r="EN9" s="357"/>
      <c r="EO9" s="375"/>
      <c r="EP9" s="357"/>
      <c r="EQ9" s="357"/>
      <c r="ER9" s="357"/>
      <c r="ES9" s="375"/>
      <c r="ET9" s="357"/>
      <c r="EU9" s="357"/>
      <c r="EV9" s="357"/>
      <c r="EW9" s="357"/>
      <c r="EX9" s="375"/>
      <c r="EY9" s="357"/>
      <c r="EZ9" s="357"/>
      <c r="FA9" s="357"/>
      <c r="FB9" s="375"/>
      <c r="FC9" s="357"/>
      <c r="FD9" s="357"/>
      <c r="FE9" s="357"/>
      <c r="FF9" s="375"/>
      <c r="FG9" s="357"/>
      <c r="FH9" s="357"/>
      <c r="FI9" s="357"/>
      <c r="FJ9" s="375"/>
      <c r="FK9" s="357"/>
      <c r="FL9" s="357"/>
      <c r="FM9" s="357"/>
      <c r="FN9" s="375"/>
      <c r="FO9" s="357"/>
      <c r="FP9" s="357"/>
      <c r="FQ9" s="357"/>
      <c r="FR9" s="375"/>
      <c r="FS9" s="357"/>
      <c r="FT9" s="357"/>
      <c r="FU9" s="357"/>
      <c r="FV9" s="375"/>
      <c r="FW9" s="357"/>
      <c r="FX9" s="13"/>
      <c r="FY9" s="189"/>
      <c r="FZ9" s="185"/>
      <c r="GA9" s="189"/>
      <c r="GB9" s="189"/>
      <c r="GC9" s="189"/>
      <c r="GD9" s="185"/>
      <c r="GE9" s="189"/>
      <c r="GF9" s="189"/>
      <c r="GG9" s="189"/>
      <c r="GH9" s="185"/>
      <c r="GI9" s="189"/>
      <c r="GJ9" s="13"/>
      <c r="GK9" s="189"/>
      <c r="GL9" s="185"/>
      <c r="GM9" s="189"/>
      <c r="GN9" s="189"/>
      <c r="GO9" s="189"/>
      <c r="GP9" s="185"/>
      <c r="GQ9" s="189"/>
      <c r="GR9" s="189"/>
      <c r="GS9" s="189"/>
      <c r="GT9" s="185"/>
      <c r="GU9" s="189"/>
      <c r="GV9" s="189"/>
      <c r="GW9" s="189"/>
      <c r="GX9" s="185"/>
      <c r="GY9" s="189"/>
      <c r="GZ9" s="189"/>
      <c r="HA9" s="189"/>
      <c r="HB9" s="185"/>
      <c r="HC9" s="189"/>
      <c r="HD9" s="189"/>
      <c r="HE9" s="189"/>
      <c r="HF9" s="185"/>
      <c r="HG9" s="189"/>
      <c r="HH9" s="189"/>
      <c r="HI9" s="189"/>
      <c r="HJ9" s="185"/>
      <c r="HK9" s="189"/>
      <c r="HL9" s="189"/>
      <c r="HM9" s="189"/>
      <c r="HN9" s="185"/>
      <c r="HO9" s="189"/>
      <c r="HP9" s="189"/>
      <c r="HQ9" s="189"/>
      <c r="HR9" s="189"/>
      <c r="HS9" s="185"/>
      <c r="HT9" s="189"/>
      <c r="HU9" s="189"/>
      <c r="HV9" s="189"/>
      <c r="HW9" s="185"/>
      <c r="HX9" s="189"/>
      <c r="HY9" s="189"/>
      <c r="HZ9" s="189"/>
      <c r="IA9" s="189"/>
      <c r="IB9" s="185"/>
      <c r="IC9" s="189"/>
      <c r="ID9" s="189"/>
      <c r="IE9" s="189"/>
      <c r="IF9" s="189"/>
      <c r="IG9" s="185"/>
      <c r="IH9" s="189"/>
      <c r="II9" s="189"/>
      <c r="IJ9" s="189"/>
      <c r="IK9" s="189"/>
      <c r="IL9" s="185"/>
      <c r="IM9" s="189"/>
      <c r="IN9" s="189"/>
      <c r="IO9" s="189"/>
      <c r="IP9" s="185"/>
      <c r="IQ9" s="189"/>
      <c r="IR9" s="189"/>
      <c r="IS9" s="189"/>
      <c r="IT9" s="189"/>
      <c r="IU9" s="189"/>
      <c r="IV9" s="189"/>
      <c r="IW9" s="189"/>
      <c r="IX9" s="189"/>
      <c r="IY9" s="189"/>
      <c r="IZ9" s="189"/>
      <c r="JA9" s="189"/>
      <c r="JB9" s="185"/>
      <c r="JC9" s="189"/>
      <c r="JD9" s="185"/>
      <c r="JE9" s="189"/>
      <c r="JF9" s="185"/>
      <c r="JG9" s="189"/>
      <c r="JH9" s="185"/>
      <c r="JI9" s="189"/>
      <c r="JJ9" s="185"/>
      <c r="JK9" s="189"/>
      <c r="JL9" s="185"/>
      <c r="JM9" s="189"/>
      <c r="JN9" s="185"/>
      <c r="JO9" s="189"/>
      <c r="JP9" s="185"/>
      <c r="JQ9" s="189"/>
      <c r="JR9" s="185"/>
      <c r="JS9" s="189"/>
      <c r="JT9" s="185"/>
      <c r="JU9" s="200"/>
      <c r="JV9" s="185"/>
      <c r="JW9" s="200"/>
      <c r="JX9" s="185"/>
      <c r="JY9" s="200"/>
      <c r="JZ9" s="185"/>
      <c r="KA9" s="200"/>
      <c r="KB9" s="196"/>
      <c r="KC9" s="200"/>
      <c r="KD9" s="157"/>
      <c r="KE9" s="200"/>
      <c r="KF9" s="157"/>
      <c r="KG9" s="200"/>
      <c r="KH9" s="157"/>
      <c r="KI9" s="200"/>
      <c r="KJ9" s="157"/>
      <c r="KK9" s="200"/>
      <c r="KL9" s="157"/>
      <c r="KM9" s="200"/>
      <c r="KN9" s="157"/>
      <c r="KO9" s="200"/>
      <c r="KP9" s="157"/>
      <c r="KQ9" s="200"/>
      <c r="KR9" s="157"/>
      <c r="KS9" s="200"/>
      <c r="KT9" s="157"/>
      <c r="KU9" s="200"/>
      <c r="KV9" s="157"/>
      <c r="KW9" s="157"/>
      <c r="KX9" s="157"/>
      <c r="KY9" s="157"/>
      <c r="KZ9" s="157"/>
      <c r="LA9" s="157"/>
      <c r="LB9" s="157"/>
      <c r="LC9" s="157"/>
      <c r="LD9" s="157"/>
      <c r="LE9" s="157"/>
      <c r="LF9" s="157"/>
      <c r="LG9" s="157"/>
      <c r="LH9" s="157"/>
      <c r="LI9" s="157"/>
      <c r="LJ9" s="157"/>
      <c r="LK9" s="157"/>
      <c r="LL9" s="157"/>
      <c r="LM9" s="157"/>
      <c r="LN9" s="157"/>
      <c r="LO9" s="157"/>
      <c r="LP9" s="157"/>
      <c r="LQ9" s="157"/>
      <c r="LR9" s="157"/>
      <c r="LS9" s="157"/>
      <c r="LT9" s="157"/>
      <c r="LU9" s="157"/>
      <c r="LV9" s="157"/>
      <c r="LW9" s="157"/>
      <c r="LX9" s="157"/>
      <c r="LY9" s="157"/>
      <c r="LZ9" s="157"/>
      <c r="MA9" s="157"/>
      <c r="MB9" s="157"/>
      <c r="MC9" s="157"/>
      <c r="MD9" s="157"/>
      <c r="ME9" s="157"/>
      <c r="MF9" s="157"/>
      <c r="MG9" s="157"/>
      <c r="MH9" s="157"/>
      <c r="MI9" s="157"/>
      <c r="MJ9" s="157"/>
      <c r="MK9" s="157"/>
      <c r="ML9" s="157"/>
      <c r="MM9" s="157"/>
      <c r="MN9" s="157"/>
      <c r="MO9" s="157"/>
      <c r="MP9" s="157"/>
      <c r="MQ9" s="157"/>
      <c r="MR9" s="157"/>
      <c r="MS9" s="157"/>
      <c r="MT9" s="157"/>
      <c r="MU9" s="157"/>
      <c r="MV9" s="157"/>
      <c r="MW9" s="157"/>
      <c r="MX9" s="157"/>
      <c r="MY9" s="157"/>
      <c r="MZ9" s="157"/>
      <c r="NA9" s="157"/>
      <c r="NB9" s="157"/>
      <c r="NC9" s="157"/>
      <c r="ND9" s="157"/>
      <c r="NE9" s="157"/>
      <c r="NF9" s="157"/>
      <c r="NG9" s="157"/>
      <c r="NH9" s="157"/>
      <c r="NI9" s="157"/>
      <c r="NJ9" s="157"/>
      <c r="NK9" s="157"/>
      <c r="NL9" s="157"/>
      <c r="NM9" s="157"/>
      <c r="NN9" s="157"/>
      <c r="NO9" s="157"/>
      <c r="NP9" s="157"/>
      <c r="NQ9" s="157"/>
      <c r="NR9" s="157"/>
      <c r="NS9" s="157"/>
      <c r="NT9" s="157"/>
      <c r="NU9" s="157"/>
    </row>
    <row r="10" spans="1:385">
      <c r="A10" s="7"/>
      <c r="B10" s="13"/>
      <c r="C10" s="357"/>
      <c r="D10" s="82"/>
      <c r="E10" s="201"/>
      <c r="F10" s="357"/>
      <c r="G10" s="357"/>
      <c r="H10" s="82"/>
      <c r="I10" s="201"/>
      <c r="J10" s="82"/>
      <c r="K10" s="357"/>
      <c r="L10" s="82"/>
      <c r="M10" s="201"/>
      <c r="N10" s="357"/>
      <c r="O10" s="357"/>
      <c r="P10" s="82"/>
      <c r="Q10" s="201"/>
      <c r="R10" s="82"/>
      <c r="S10" s="201"/>
      <c r="T10" s="82"/>
      <c r="U10" s="201"/>
      <c r="V10" s="357"/>
      <c r="W10" s="201"/>
      <c r="X10" s="82"/>
      <c r="Y10" s="201"/>
      <c r="Z10" s="357"/>
      <c r="AA10" s="357"/>
      <c r="AB10" s="82"/>
      <c r="AC10" s="201"/>
      <c r="AD10" s="357"/>
      <c r="AE10" s="357"/>
      <c r="AF10" s="82"/>
      <c r="AG10" s="201"/>
      <c r="AH10" s="357"/>
      <c r="AI10" s="357"/>
      <c r="AJ10" s="82"/>
      <c r="AK10" s="201"/>
      <c r="AL10" s="357"/>
      <c r="AM10" s="357"/>
      <c r="AN10" s="82"/>
      <c r="AO10" s="201"/>
      <c r="AP10" s="357"/>
      <c r="AQ10" s="357"/>
      <c r="AR10" s="82"/>
      <c r="AS10" s="201"/>
      <c r="AT10" s="357"/>
      <c r="AU10" s="357"/>
      <c r="AV10" s="82"/>
      <c r="AW10" s="201"/>
      <c r="AX10" s="357"/>
      <c r="AY10" s="357"/>
      <c r="AZ10" s="82"/>
      <c r="BA10" s="201"/>
      <c r="BB10" s="357"/>
      <c r="BC10" s="357"/>
      <c r="BD10" s="82"/>
      <c r="BE10" s="201"/>
      <c r="BF10" s="357"/>
      <c r="BG10" s="357"/>
      <c r="BH10" s="82"/>
      <c r="BI10" s="201"/>
      <c r="BJ10" s="357"/>
      <c r="BK10" s="357"/>
      <c r="BL10" s="82"/>
      <c r="BM10" s="201"/>
      <c r="BN10" s="357"/>
      <c r="BO10" s="357"/>
      <c r="BP10" s="82"/>
      <c r="BQ10" s="201"/>
      <c r="BR10" s="357"/>
      <c r="BS10" s="357"/>
      <c r="BT10" s="82"/>
      <c r="BU10" s="201"/>
      <c r="BV10" s="357"/>
      <c r="BW10" s="357"/>
      <c r="BX10" s="82"/>
      <c r="BY10" s="201"/>
      <c r="BZ10" s="357"/>
      <c r="CA10" s="357"/>
      <c r="CB10" s="82"/>
      <c r="CC10" s="201"/>
      <c r="CD10" s="357"/>
      <c r="CE10" s="357"/>
      <c r="CF10" s="82"/>
      <c r="CG10" s="201"/>
      <c r="CH10" s="357"/>
      <c r="CI10" s="357"/>
      <c r="CJ10" s="82"/>
      <c r="CK10" s="201"/>
      <c r="CL10" s="357"/>
      <c r="CM10" s="357"/>
      <c r="CN10" s="82"/>
      <c r="CO10" s="201"/>
      <c r="CP10" s="357"/>
      <c r="CQ10" s="357"/>
      <c r="CR10" s="82"/>
      <c r="CS10" s="201"/>
      <c r="CT10" s="357"/>
      <c r="CU10" s="357"/>
      <c r="CV10" s="82"/>
      <c r="CW10" s="201"/>
      <c r="CX10" s="357"/>
      <c r="CY10" s="357"/>
      <c r="CZ10" s="82"/>
      <c r="DA10" s="201"/>
      <c r="DB10" s="357"/>
      <c r="DC10" s="357"/>
      <c r="DD10" s="82"/>
      <c r="DE10" s="201"/>
      <c r="DF10" s="357"/>
      <c r="DG10" s="357"/>
      <c r="DH10" s="82"/>
      <c r="DI10" s="201"/>
      <c r="DJ10" s="357"/>
      <c r="DK10" s="13"/>
      <c r="DL10" s="82"/>
      <c r="DM10" s="201"/>
      <c r="DN10" s="357"/>
      <c r="DO10" s="357"/>
      <c r="DP10" s="82"/>
      <c r="DQ10" s="201"/>
      <c r="DR10" s="357"/>
      <c r="DS10" s="13"/>
      <c r="DT10" s="82"/>
      <c r="DU10" s="201"/>
      <c r="DV10" s="357"/>
      <c r="DW10" s="357"/>
      <c r="DX10" s="82"/>
      <c r="DY10" s="201"/>
      <c r="DZ10" s="357"/>
      <c r="EA10" s="357"/>
      <c r="EB10" s="82"/>
      <c r="EC10" s="201"/>
      <c r="ED10" s="357"/>
      <c r="EE10" s="357"/>
      <c r="EF10" s="357"/>
      <c r="EG10" s="378"/>
      <c r="EH10" s="357"/>
      <c r="EI10" s="357"/>
      <c r="EJ10" s="357"/>
      <c r="EK10" s="378"/>
      <c r="EL10" s="383"/>
      <c r="EM10" s="357"/>
      <c r="EN10" s="357"/>
      <c r="EO10" s="378"/>
      <c r="EP10" s="357"/>
      <c r="EQ10" s="357"/>
      <c r="ER10" s="357"/>
      <c r="ES10" s="378"/>
      <c r="ET10" s="357"/>
      <c r="EU10" s="357"/>
      <c r="EV10" s="357"/>
      <c r="EW10" s="357"/>
      <c r="EX10" s="378"/>
      <c r="EY10" s="357"/>
      <c r="EZ10" s="357"/>
      <c r="FA10" s="357"/>
      <c r="FB10" s="378"/>
      <c r="FC10" s="357"/>
      <c r="FD10" s="357"/>
      <c r="FE10" s="357"/>
      <c r="FF10" s="378"/>
      <c r="FG10" s="357"/>
      <c r="FH10" s="357"/>
      <c r="FI10" s="357"/>
      <c r="FJ10" s="378"/>
      <c r="FK10" s="357"/>
      <c r="FL10" s="357"/>
      <c r="FM10" s="357"/>
      <c r="FN10" s="378"/>
      <c r="FO10" s="357"/>
      <c r="FP10" s="357"/>
      <c r="FQ10" s="357"/>
      <c r="FR10" s="378"/>
      <c r="FS10" s="357"/>
      <c r="FT10" s="357"/>
      <c r="FU10" s="357"/>
      <c r="FV10" s="378"/>
      <c r="FW10" s="357"/>
      <c r="FX10" s="13"/>
      <c r="FY10" s="189"/>
      <c r="FZ10" s="201"/>
      <c r="GA10" s="189"/>
      <c r="GB10" s="189"/>
      <c r="GC10" s="189"/>
      <c r="GD10" s="201"/>
      <c r="GE10" s="189"/>
      <c r="GF10" s="189"/>
      <c r="GG10" s="189"/>
      <c r="GH10" s="201"/>
      <c r="GI10" s="189"/>
      <c r="GJ10" s="13"/>
      <c r="GK10" s="189"/>
      <c r="GL10" s="201"/>
      <c r="GM10" s="189"/>
      <c r="GN10" s="189"/>
      <c r="GO10" s="189"/>
      <c r="GP10" s="201"/>
      <c r="GQ10" s="189"/>
      <c r="GR10" s="189"/>
      <c r="GS10" s="189"/>
      <c r="GT10" s="201"/>
      <c r="GU10" s="189"/>
      <c r="GV10" s="189"/>
      <c r="GW10" s="189"/>
      <c r="GX10" s="201"/>
      <c r="GY10" s="189"/>
      <c r="GZ10" s="189"/>
      <c r="HA10" s="189"/>
      <c r="HB10" s="201"/>
      <c r="HC10" s="189"/>
      <c r="HD10" s="189"/>
      <c r="HE10" s="189"/>
      <c r="HF10" s="201"/>
      <c r="HG10" s="189"/>
      <c r="HH10" s="189"/>
      <c r="HI10" s="189"/>
      <c r="HJ10" s="201"/>
      <c r="HK10" s="189"/>
      <c r="HL10" s="189"/>
      <c r="HM10" s="189"/>
      <c r="HN10" s="201"/>
      <c r="HO10" s="189"/>
      <c r="HP10" s="189"/>
      <c r="HQ10" s="189"/>
      <c r="HR10" s="189"/>
      <c r="HS10" s="201"/>
      <c r="HT10" s="189"/>
      <c r="HU10" s="189"/>
      <c r="HV10" s="189"/>
      <c r="HW10" s="201"/>
      <c r="HX10" s="189"/>
      <c r="HY10" s="189"/>
      <c r="HZ10" s="189"/>
      <c r="IA10" s="189"/>
      <c r="IB10" s="201"/>
      <c r="IC10" s="189"/>
      <c r="ID10" s="189"/>
      <c r="IE10" s="189"/>
      <c r="IF10" s="189"/>
      <c r="IG10" s="201"/>
      <c r="IH10" s="189"/>
      <c r="II10" s="189"/>
      <c r="IJ10" s="189"/>
      <c r="IK10" s="189"/>
      <c r="IL10" s="201"/>
      <c r="IM10" s="189"/>
      <c r="IN10" s="189"/>
      <c r="IO10" s="189"/>
      <c r="IP10" s="201"/>
      <c r="IQ10" s="189"/>
      <c r="IR10" s="189"/>
      <c r="IS10" s="189"/>
      <c r="IT10" s="189"/>
      <c r="IU10" s="189"/>
      <c r="IV10" s="189"/>
      <c r="IW10" s="189"/>
      <c r="IX10" s="189"/>
      <c r="IY10" s="189"/>
      <c r="IZ10" s="189"/>
      <c r="JA10" s="189"/>
      <c r="JB10" s="201"/>
      <c r="JC10" s="189"/>
      <c r="JD10" s="201"/>
      <c r="JE10" s="189"/>
      <c r="JF10" s="201"/>
      <c r="JG10" s="189"/>
      <c r="JH10" s="201"/>
      <c r="JI10" s="189"/>
      <c r="JJ10" s="201"/>
      <c r="JK10" s="189"/>
      <c r="JL10" s="201"/>
      <c r="JM10" s="189"/>
      <c r="JN10" s="201"/>
      <c r="JO10" s="189"/>
      <c r="JP10" s="201"/>
      <c r="JQ10" s="189"/>
      <c r="JR10" s="201"/>
      <c r="JS10" s="189"/>
      <c r="JT10" s="201"/>
      <c r="JU10" s="185"/>
      <c r="JV10" s="201"/>
      <c r="JW10" s="185"/>
      <c r="JX10" s="201"/>
      <c r="JY10" s="185"/>
      <c r="JZ10" s="201"/>
      <c r="KA10" s="185"/>
      <c r="KB10" s="185"/>
      <c r="KC10" s="185"/>
      <c r="KD10" s="157"/>
      <c r="KE10" s="185"/>
      <c r="KF10" s="157"/>
      <c r="KG10" s="185"/>
      <c r="KH10" s="157"/>
      <c r="KI10" s="185"/>
      <c r="KJ10" s="157"/>
      <c r="KK10" s="185"/>
      <c r="KL10" s="157"/>
      <c r="KM10" s="185"/>
      <c r="KN10" s="157"/>
      <c r="KO10" s="185"/>
      <c r="KP10" s="157"/>
      <c r="KQ10" s="185"/>
      <c r="KR10" s="157"/>
      <c r="KS10" s="185"/>
      <c r="KT10" s="157"/>
      <c r="KU10" s="185"/>
      <c r="KV10" s="157"/>
      <c r="KW10" s="157"/>
      <c r="KX10" s="157"/>
      <c r="KY10" s="157"/>
      <c r="KZ10" s="157"/>
      <c r="LA10" s="157"/>
      <c r="LB10" s="157"/>
      <c r="LC10" s="157"/>
      <c r="LD10" s="157"/>
      <c r="LE10" s="157"/>
      <c r="LF10" s="157"/>
      <c r="LG10" s="157"/>
      <c r="LH10" s="157"/>
      <c r="LI10" s="157"/>
      <c r="LJ10" s="157"/>
      <c r="LK10" s="157"/>
      <c r="LL10" s="157"/>
      <c r="LM10" s="157"/>
      <c r="LN10" s="157"/>
      <c r="LO10" s="157"/>
      <c r="LP10" s="157"/>
      <c r="LQ10" s="157"/>
      <c r="LR10" s="157"/>
      <c r="LS10" s="157"/>
      <c r="LT10" s="157"/>
      <c r="LU10" s="157"/>
      <c r="LV10" s="157"/>
      <c r="LW10" s="157"/>
      <c r="LX10" s="157"/>
      <c r="LY10" s="157"/>
      <c r="LZ10" s="157"/>
      <c r="MA10" s="157"/>
      <c r="MB10" s="157"/>
      <c r="MC10" s="157"/>
      <c r="MD10" s="157"/>
      <c r="ME10" s="157"/>
      <c r="MF10" s="157"/>
      <c r="MG10" s="157"/>
      <c r="MH10" s="157"/>
      <c r="MI10" s="157"/>
      <c r="MJ10" s="157"/>
      <c r="MK10" s="157"/>
      <c r="ML10" s="157"/>
      <c r="MM10" s="157"/>
      <c r="MN10" s="157"/>
      <c r="MO10" s="157"/>
      <c r="MP10" s="157"/>
      <c r="MQ10" s="157"/>
      <c r="MR10" s="157"/>
      <c r="MS10" s="157"/>
      <c r="MT10" s="157"/>
      <c r="MU10" s="157"/>
      <c r="MV10" s="157"/>
      <c r="MW10" s="157"/>
      <c r="MX10" s="157"/>
      <c r="MY10" s="157"/>
      <c r="MZ10" s="157"/>
      <c r="NA10" s="157"/>
      <c r="NB10" s="157"/>
      <c r="NC10" s="157"/>
      <c r="ND10" s="157"/>
      <c r="NE10" s="157"/>
      <c r="NF10" s="157"/>
      <c r="NG10" s="157"/>
      <c r="NH10" s="157"/>
      <c r="NI10" s="157"/>
      <c r="NJ10" s="157"/>
      <c r="NK10" s="157"/>
      <c r="NL10" s="157"/>
      <c r="NM10" s="157"/>
      <c r="NN10" s="157"/>
      <c r="NO10" s="157"/>
      <c r="NP10" s="157"/>
      <c r="NQ10" s="157"/>
      <c r="NR10" s="157"/>
      <c r="NS10" s="157"/>
      <c r="NT10" s="157"/>
      <c r="NU10" s="157"/>
    </row>
    <row r="11" spans="1:385">
      <c r="A11" s="7"/>
      <c r="B11" s="13"/>
      <c r="C11" s="357"/>
      <c r="D11" s="82"/>
      <c r="E11" s="167"/>
      <c r="F11" s="357"/>
      <c r="G11" s="357"/>
      <c r="H11" s="82">
        <v>1000</v>
      </c>
      <c r="I11" s="167"/>
      <c r="J11" s="82"/>
      <c r="K11" s="357"/>
      <c r="L11" s="82"/>
      <c r="M11" s="167"/>
      <c r="N11" s="357"/>
      <c r="O11" s="357"/>
      <c r="P11" s="82"/>
      <c r="Q11" s="167"/>
      <c r="R11" s="82"/>
      <c r="S11" s="167"/>
      <c r="T11" s="82"/>
      <c r="U11" s="167"/>
      <c r="V11" s="357"/>
      <c r="W11" s="167"/>
      <c r="X11" s="82"/>
      <c r="Y11" s="167"/>
      <c r="Z11" s="357"/>
      <c r="AA11" s="357"/>
      <c r="AB11" s="82"/>
      <c r="AC11" s="167"/>
      <c r="AD11" s="357"/>
      <c r="AE11" s="357"/>
      <c r="AF11" s="82"/>
      <c r="AG11" s="167"/>
      <c r="AH11" s="357"/>
      <c r="AI11" s="357"/>
      <c r="AJ11" s="82"/>
      <c r="AK11" s="167"/>
      <c r="AL11" s="357"/>
      <c r="AM11" s="357"/>
      <c r="AN11" s="82"/>
      <c r="AO11" s="167"/>
      <c r="AP11" s="357"/>
      <c r="AQ11" s="357"/>
      <c r="AR11" s="82"/>
      <c r="AS11" s="167"/>
      <c r="AT11" s="357"/>
      <c r="AU11" s="357"/>
      <c r="AV11" s="82"/>
      <c r="AW11" s="167"/>
      <c r="AX11" s="357"/>
      <c r="AY11" s="357"/>
      <c r="AZ11" s="82"/>
      <c r="BA11" s="167"/>
      <c r="BB11" s="357"/>
      <c r="BC11" s="357"/>
      <c r="BD11" s="82"/>
      <c r="BE11" s="167"/>
      <c r="BF11" s="357"/>
      <c r="BG11" s="357"/>
      <c r="BH11" s="82"/>
      <c r="BI11" s="167"/>
      <c r="BJ11" s="357"/>
      <c r="BK11" s="357"/>
      <c r="BL11" s="82"/>
      <c r="BM11" s="167"/>
      <c r="BN11" s="357"/>
      <c r="BO11" s="357"/>
      <c r="BP11" s="82"/>
      <c r="BQ11" s="167"/>
      <c r="BR11" s="357"/>
      <c r="BS11" s="357"/>
      <c r="BT11" s="82"/>
      <c r="BU11" s="167"/>
      <c r="BV11" s="357"/>
      <c r="BW11" s="357"/>
      <c r="BX11" s="82"/>
      <c r="BY11" s="167"/>
      <c r="BZ11" s="357"/>
      <c r="CA11" s="357"/>
      <c r="CB11" s="82"/>
      <c r="CC11" s="167"/>
      <c r="CD11" s="357"/>
      <c r="CE11" s="357"/>
      <c r="CF11" s="82"/>
      <c r="CG11" s="167"/>
      <c r="CH11" s="357"/>
      <c r="CI11" s="357"/>
      <c r="CJ11" s="82"/>
      <c r="CK11" s="167"/>
      <c r="CL11" s="357"/>
      <c r="CM11" s="357"/>
      <c r="CN11" s="82"/>
      <c r="CO11" s="167"/>
      <c r="CP11" s="357"/>
      <c r="CQ11" s="357"/>
      <c r="CR11" s="82"/>
      <c r="CS11" s="167"/>
      <c r="CT11" s="357"/>
      <c r="CU11" s="357"/>
      <c r="CV11" s="82"/>
      <c r="CW11" s="167"/>
      <c r="CX11" s="357"/>
      <c r="CY11" s="357"/>
      <c r="CZ11" s="82"/>
      <c r="DA11" s="167"/>
      <c r="DB11" s="357"/>
      <c r="DC11" s="357"/>
      <c r="DD11" s="82"/>
      <c r="DE11" s="167"/>
      <c r="DF11" s="357"/>
      <c r="DG11" s="357"/>
      <c r="DH11" s="82"/>
      <c r="DI11" s="167"/>
      <c r="DJ11" s="357"/>
      <c r="DK11" s="13"/>
      <c r="DL11" s="82"/>
      <c r="DM11" s="167"/>
      <c r="DN11" s="357"/>
      <c r="DO11" s="357"/>
      <c r="DP11" s="82"/>
      <c r="DQ11" s="167"/>
      <c r="DR11" s="357"/>
      <c r="DS11" s="13"/>
      <c r="DT11" s="82"/>
      <c r="DU11" s="167"/>
      <c r="DV11" s="357"/>
      <c r="DW11" s="357"/>
      <c r="DX11" s="82"/>
      <c r="DY11" s="167"/>
      <c r="DZ11" s="357"/>
      <c r="EA11" s="357"/>
      <c r="EB11" s="82"/>
      <c r="EC11" s="167"/>
      <c r="ED11" s="357"/>
      <c r="EE11" s="357"/>
      <c r="EF11" s="357"/>
      <c r="EG11" s="376"/>
      <c r="EH11" s="357"/>
      <c r="EI11" s="357"/>
      <c r="EJ11" s="357"/>
      <c r="EK11" s="376"/>
      <c r="EL11" s="383"/>
      <c r="EM11" s="357"/>
      <c r="EN11" s="357"/>
      <c r="EO11" s="376"/>
      <c r="EP11" s="357"/>
      <c r="EQ11" s="357"/>
      <c r="ER11" s="357"/>
      <c r="ES11" s="376"/>
      <c r="ET11" s="357"/>
      <c r="EU11" s="357"/>
      <c r="EV11" s="357"/>
      <c r="EW11" s="357"/>
      <c r="EX11" s="376"/>
      <c r="EY11" s="357"/>
      <c r="EZ11" s="357"/>
      <c r="FA11" s="357"/>
      <c r="FB11" s="376"/>
      <c r="FC11" s="357"/>
      <c r="FD11" s="357"/>
      <c r="FE11" s="357"/>
      <c r="FF11" s="376"/>
      <c r="FG11" s="357"/>
      <c r="FH11" s="357"/>
      <c r="FI11" s="357"/>
      <c r="FJ11" s="376"/>
      <c r="FK11" s="357"/>
      <c r="FL11" s="357"/>
      <c r="FM11" s="357"/>
      <c r="FN11" s="376"/>
      <c r="FO11" s="357"/>
      <c r="FP11" s="357"/>
      <c r="FQ11" s="357"/>
      <c r="FR11" s="376"/>
      <c r="FS11" s="357"/>
      <c r="FT11" s="357"/>
      <c r="FU11" s="357"/>
      <c r="FV11" s="376"/>
      <c r="FW11" s="357"/>
      <c r="FX11" s="13"/>
      <c r="FY11" s="189"/>
      <c r="FZ11" s="167"/>
      <c r="GA11" s="189"/>
      <c r="GB11" s="189"/>
      <c r="GC11" s="189"/>
      <c r="GD11" s="167"/>
      <c r="GE11" s="189"/>
      <c r="GF11" s="189"/>
      <c r="GG11" s="189"/>
      <c r="GH11" s="167"/>
      <c r="GI11" s="189"/>
      <c r="GJ11" s="13"/>
      <c r="GK11" s="189"/>
      <c r="GL11" s="167"/>
      <c r="GM11" s="189"/>
      <c r="GN11" s="189"/>
      <c r="GO11" s="189"/>
      <c r="GP11" s="167"/>
      <c r="GQ11" s="189"/>
      <c r="GR11" s="189"/>
      <c r="GS11" s="189"/>
      <c r="GT11" s="167"/>
      <c r="GU11" s="189"/>
      <c r="GV11" s="189"/>
      <c r="GW11" s="189"/>
      <c r="GX11" s="167"/>
      <c r="GY11" s="189"/>
      <c r="GZ11" s="189"/>
      <c r="HA11" s="189"/>
      <c r="HB11" s="167"/>
      <c r="HC11" s="189"/>
      <c r="HD11" s="189"/>
      <c r="HE11" s="189"/>
      <c r="HF11" s="167"/>
      <c r="HG11" s="189"/>
      <c r="HH11" s="189"/>
      <c r="HI11" s="189"/>
      <c r="HJ11" s="167"/>
      <c r="HK11" s="189"/>
      <c r="HL11" s="189"/>
      <c r="HM11" s="189"/>
      <c r="HN11" s="167"/>
      <c r="HO11" s="189"/>
      <c r="HP11" s="189"/>
      <c r="HQ11" s="189"/>
      <c r="HR11" s="189"/>
      <c r="HS11" s="167"/>
      <c r="HT11" s="189"/>
      <c r="HU11" s="189"/>
      <c r="HV11" s="189"/>
      <c r="HW11" s="167"/>
      <c r="HX11" s="189"/>
      <c r="HY11" s="189"/>
      <c r="HZ11" s="189"/>
      <c r="IA11" s="189"/>
      <c r="IB11" s="167"/>
      <c r="IC11" s="189"/>
      <c r="ID11" s="189"/>
      <c r="IE11" s="189"/>
      <c r="IF11" s="189"/>
      <c r="IG11" s="167"/>
      <c r="IH11" s="189"/>
      <c r="II11" s="189"/>
      <c r="IJ11" s="189"/>
      <c r="IK11" s="189"/>
      <c r="IL11" s="167"/>
      <c r="IM11" s="189"/>
      <c r="IN11" s="189"/>
      <c r="IO11" s="189"/>
      <c r="IP11" s="167"/>
      <c r="IQ11" s="189"/>
      <c r="IR11" s="189"/>
      <c r="IS11" s="189"/>
      <c r="IT11" s="189"/>
      <c r="IU11" s="189"/>
      <c r="IV11" s="189"/>
      <c r="IW11" s="189"/>
      <c r="IX11" s="189"/>
      <c r="IY11" s="189"/>
      <c r="IZ11" s="189"/>
      <c r="JA11" s="189"/>
      <c r="JB11" s="167"/>
      <c r="JC11" s="189"/>
      <c r="JD11" s="167"/>
      <c r="JE11" s="189"/>
      <c r="JF11" s="167"/>
      <c r="JG11" s="189"/>
      <c r="JH11" s="167"/>
      <c r="JI11" s="189"/>
      <c r="JJ11" s="167"/>
      <c r="JK11" s="189"/>
      <c r="JL11" s="167"/>
      <c r="JM11" s="189"/>
      <c r="JN11" s="167"/>
      <c r="JO11" s="189"/>
      <c r="JP11" s="167"/>
      <c r="JQ11" s="189"/>
      <c r="JR11" s="167"/>
      <c r="JS11" s="189"/>
      <c r="JT11" s="167"/>
      <c r="JU11" s="201"/>
      <c r="JV11" s="167"/>
      <c r="JW11" s="201"/>
      <c r="JX11" s="167"/>
      <c r="JY11" s="201"/>
      <c r="JZ11" s="167"/>
      <c r="KA11" s="201"/>
      <c r="KB11" s="201"/>
      <c r="KC11" s="201"/>
      <c r="KD11" s="157"/>
      <c r="KE11" s="201"/>
      <c r="KF11" s="157"/>
      <c r="KG11" s="201"/>
      <c r="KH11" s="157"/>
      <c r="KI11" s="201"/>
      <c r="KJ11" s="157"/>
      <c r="KK11" s="201"/>
      <c r="KL11" s="157"/>
      <c r="KM11" s="201"/>
      <c r="KN11" s="157"/>
      <c r="KO11" s="201"/>
      <c r="KP11" s="157"/>
      <c r="KQ11" s="201"/>
      <c r="KR11" s="157"/>
      <c r="KS11" s="201"/>
      <c r="KT11" s="157"/>
      <c r="KU11" s="201"/>
      <c r="KV11" s="157"/>
      <c r="KW11" s="157"/>
      <c r="KX11" s="157"/>
      <c r="KY11" s="157"/>
      <c r="KZ11" s="157"/>
      <c r="LA11" s="157"/>
      <c r="LB11" s="157"/>
      <c r="LC11" s="157"/>
      <c r="LD11" s="157"/>
      <c r="LE11" s="157"/>
      <c r="LF11" s="157"/>
      <c r="LG11" s="157"/>
      <c r="LH11" s="157"/>
      <c r="LI11" s="157"/>
      <c r="LJ11" s="157"/>
      <c r="LK11" s="157"/>
      <c r="LL11" s="157"/>
      <c r="LM11" s="157"/>
      <c r="LN11" s="157"/>
      <c r="LO11" s="157"/>
      <c r="LP11" s="157"/>
      <c r="LQ11" s="157"/>
      <c r="LR11" s="157"/>
      <c r="LS11" s="157"/>
      <c r="LT11" s="157"/>
      <c r="LU11" s="157"/>
      <c r="LV11" s="157"/>
      <c r="LW11" s="157"/>
      <c r="LX11" s="157"/>
      <c r="LY11" s="157"/>
      <c r="LZ11" s="157"/>
      <c r="MA11" s="157"/>
      <c r="MB11" s="157"/>
      <c r="MC11" s="157"/>
      <c r="MD11" s="157"/>
      <c r="ME11" s="157"/>
      <c r="MF11" s="157"/>
      <c r="MG11" s="157"/>
      <c r="MH11" s="157"/>
      <c r="MI11" s="157"/>
      <c r="MJ11" s="157"/>
      <c r="MK11" s="157"/>
      <c r="ML11" s="157"/>
      <c r="MM11" s="157"/>
      <c r="MN11" s="157"/>
      <c r="MO11" s="157"/>
      <c r="MP11" s="157"/>
      <c r="MQ11" s="157"/>
      <c r="MR11" s="157"/>
      <c r="MS11" s="157"/>
      <c r="MT11" s="157"/>
      <c r="MU11" s="157"/>
      <c r="MV11" s="157"/>
      <c r="MW11" s="157"/>
      <c r="MX11" s="157"/>
      <c r="MY11" s="157"/>
      <c r="MZ11" s="157"/>
      <c r="NA11" s="157"/>
      <c r="NB11" s="157"/>
      <c r="NC11" s="157"/>
      <c r="ND11" s="157"/>
      <c r="NE11" s="157"/>
      <c r="NF11" s="157"/>
      <c r="NG11" s="157"/>
      <c r="NH11" s="157"/>
      <c r="NI11" s="157"/>
      <c r="NJ11" s="157"/>
      <c r="NK11" s="157"/>
      <c r="NL11" s="157"/>
      <c r="NM11" s="157"/>
      <c r="NN11" s="157"/>
      <c r="NO11" s="157"/>
      <c r="NP11" s="157"/>
      <c r="NQ11" s="157"/>
      <c r="NR11" s="157"/>
      <c r="NS11" s="157"/>
      <c r="NT11" s="157"/>
      <c r="NU11" s="157"/>
    </row>
    <row r="12" spans="1:385">
      <c r="A12" s="7"/>
      <c r="B12" s="13"/>
      <c r="C12" s="357"/>
      <c r="D12" s="82"/>
      <c r="E12" s="202"/>
      <c r="F12" s="357"/>
      <c r="G12" s="357"/>
      <c r="H12" s="82"/>
      <c r="I12" s="202"/>
      <c r="J12" s="82"/>
      <c r="K12" s="357"/>
      <c r="L12" s="82"/>
      <c r="M12" s="202"/>
      <c r="N12" s="357"/>
      <c r="O12" s="357"/>
      <c r="P12" s="82"/>
      <c r="Q12" s="202"/>
      <c r="R12" s="82"/>
      <c r="S12" s="202"/>
      <c r="T12" s="82"/>
      <c r="U12" s="202"/>
      <c r="V12" s="357"/>
      <c r="W12" s="202"/>
      <c r="X12" s="82"/>
      <c r="Y12" s="202"/>
      <c r="Z12" s="357"/>
      <c r="AA12" s="357"/>
      <c r="AB12" s="82"/>
      <c r="AC12" s="202"/>
      <c r="AD12" s="357"/>
      <c r="AE12" s="357"/>
      <c r="AF12" s="82"/>
      <c r="AG12" s="202"/>
      <c r="AH12" s="357"/>
      <c r="AI12" s="357"/>
      <c r="AJ12" s="82"/>
      <c r="AK12" s="202"/>
      <c r="AL12" s="357"/>
      <c r="AM12" s="357"/>
      <c r="AN12" s="82"/>
      <c r="AO12" s="202"/>
      <c r="AP12" s="357"/>
      <c r="AQ12" s="357"/>
      <c r="AR12" s="82"/>
      <c r="AS12" s="202"/>
      <c r="AT12" s="357"/>
      <c r="AU12" s="357"/>
      <c r="AV12" s="82"/>
      <c r="AW12" s="202"/>
      <c r="AX12" s="357"/>
      <c r="AY12" s="357"/>
      <c r="AZ12" s="82"/>
      <c r="BA12" s="202"/>
      <c r="BB12" s="357"/>
      <c r="BC12" s="357"/>
      <c r="BD12" s="82"/>
      <c r="BE12" s="202"/>
      <c r="BF12" s="357"/>
      <c r="BG12" s="357"/>
      <c r="BH12" s="82"/>
      <c r="BI12" s="202"/>
      <c r="BJ12" s="357"/>
      <c r="BK12" s="357"/>
      <c r="BL12" s="82"/>
      <c r="BM12" s="202"/>
      <c r="BN12" s="357"/>
      <c r="BO12" s="357"/>
      <c r="BP12" s="82"/>
      <c r="BQ12" s="202"/>
      <c r="BR12" s="357"/>
      <c r="BS12" s="357"/>
      <c r="BT12" s="82"/>
      <c r="BU12" s="202"/>
      <c r="BV12" s="357"/>
      <c r="BW12" s="357"/>
      <c r="BX12" s="82"/>
      <c r="BY12" s="202"/>
      <c r="BZ12" s="357"/>
      <c r="CA12" s="357"/>
      <c r="CB12" s="82"/>
      <c r="CC12" s="202"/>
      <c r="CD12" s="357"/>
      <c r="CE12" s="357"/>
      <c r="CF12" s="82"/>
      <c r="CG12" s="202"/>
      <c r="CH12" s="357"/>
      <c r="CI12" s="357"/>
      <c r="CJ12" s="82"/>
      <c r="CK12" s="202"/>
      <c r="CL12" s="357"/>
      <c r="CM12" s="357"/>
      <c r="CN12" s="82"/>
      <c r="CO12" s="202"/>
      <c r="CP12" s="357"/>
      <c r="CQ12" s="357"/>
      <c r="CR12" s="82"/>
      <c r="CS12" s="202"/>
      <c r="CT12" s="357"/>
      <c r="CU12" s="357"/>
      <c r="CV12" s="82"/>
      <c r="CW12" s="202"/>
      <c r="CX12" s="357"/>
      <c r="CY12" s="357"/>
      <c r="CZ12" s="82"/>
      <c r="DA12" s="202"/>
      <c r="DB12" s="357"/>
      <c r="DC12" s="357"/>
      <c r="DD12" s="82"/>
      <c r="DE12" s="202"/>
      <c r="DF12" s="357"/>
      <c r="DG12" s="357"/>
      <c r="DH12" s="82"/>
      <c r="DI12" s="202"/>
      <c r="DJ12" s="357"/>
      <c r="DK12" s="13"/>
      <c r="DL12" s="82"/>
      <c r="DM12" s="202"/>
      <c r="DN12" s="357"/>
      <c r="DO12" s="357"/>
      <c r="DP12" s="82"/>
      <c r="DQ12" s="202"/>
      <c r="DR12" s="357"/>
      <c r="DS12" s="13"/>
      <c r="DT12" s="82"/>
      <c r="DU12" s="202"/>
      <c r="DV12" s="357"/>
      <c r="DW12" s="357"/>
      <c r="DX12" s="82"/>
      <c r="DY12" s="202"/>
      <c r="DZ12" s="357"/>
      <c r="EA12" s="357"/>
      <c r="EB12" s="82"/>
      <c r="EC12" s="202"/>
      <c r="ED12" s="357"/>
      <c r="EE12" s="357"/>
      <c r="EF12" s="357"/>
      <c r="EG12" s="379"/>
      <c r="EH12" s="357"/>
      <c r="EI12" s="357"/>
      <c r="EJ12" s="357"/>
      <c r="EK12" s="379"/>
      <c r="EL12" s="383"/>
      <c r="EM12" s="357"/>
      <c r="EN12" s="357"/>
      <c r="EO12" s="379"/>
      <c r="EP12" s="357"/>
      <c r="EQ12" s="357"/>
      <c r="ER12" s="357"/>
      <c r="ES12" s="379"/>
      <c r="ET12" s="357"/>
      <c r="EU12" s="357"/>
      <c r="EV12" s="357"/>
      <c r="EW12" s="357"/>
      <c r="EX12" s="379"/>
      <c r="EY12" s="357"/>
      <c r="EZ12" s="357"/>
      <c r="FA12" s="357"/>
      <c r="FB12" s="379"/>
      <c r="FC12" s="357"/>
      <c r="FD12" s="357"/>
      <c r="FE12" s="357"/>
      <c r="FF12" s="379"/>
      <c r="FG12" s="357"/>
      <c r="FH12" s="357"/>
      <c r="FI12" s="357"/>
      <c r="FJ12" s="379"/>
      <c r="FK12" s="357"/>
      <c r="FL12" s="357"/>
      <c r="FM12" s="357"/>
      <c r="FN12" s="379"/>
      <c r="FO12" s="357"/>
      <c r="FP12" s="357"/>
      <c r="FQ12" s="357"/>
      <c r="FR12" s="379"/>
      <c r="FS12" s="357"/>
      <c r="FT12" s="357"/>
      <c r="FU12" s="357"/>
      <c r="FV12" s="379"/>
      <c r="FW12" s="357"/>
      <c r="FX12" s="13"/>
      <c r="FY12" s="189"/>
      <c r="FZ12" s="202"/>
      <c r="GA12" s="189"/>
      <c r="GB12" s="189"/>
      <c r="GC12" s="189"/>
      <c r="GD12" s="202"/>
      <c r="GE12" s="189"/>
      <c r="GF12" s="189"/>
      <c r="GG12" s="189"/>
      <c r="GH12" s="202"/>
      <c r="GI12" s="189"/>
      <c r="GJ12" s="13"/>
      <c r="GK12" s="189"/>
      <c r="GL12" s="202"/>
      <c r="GM12" s="189"/>
      <c r="GN12" s="189"/>
      <c r="GO12" s="189"/>
      <c r="GP12" s="202"/>
      <c r="GQ12" s="189"/>
      <c r="GR12" s="189"/>
      <c r="GS12" s="189"/>
      <c r="GT12" s="202"/>
      <c r="GU12" s="189"/>
      <c r="GV12" s="189"/>
      <c r="GW12" s="189"/>
      <c r="GX12" s="202"/>
      <c r="GY12" s="189"/>
      <c r="GZ12" s="189"/>
      <c r="HA12" s="189"/>
      <c r="HB12" s="202"/>
      <c r="HC12" s="189"/>
      <c r="HD12" s="189"/>
      <c r="HE12" s="189"/>
      <c r="HF12" s="202"/>
      <c r="HG12" s="189"/>
      <c r="HH12" s="189"/>
      <c r="HI12" s="189"/>
      <c r="HJ12" s="202"/>
      <c r="HK12" s="189"/>
      <c r="HL12" s="189"/>
      <c r="HM12" s="189"/>
      <c r="HN12" s="202"/>
      <c r="HO12" s="189"/>
      <c r="HP12" s="189"/>
      <c r="HQ12" s="189"/>
      <c r="HR12" s="189"/>
      <c r="HS12" s="202"/>
      <c r="HT12" s="189"/>
      <c r="HU12" s="189"/>
      <c r="HV12" s="189"/>
      <c r="HW12" s="202"/>
      <c r="HX12" s="189"/>
      <c r="HY12" s="189"/>
      <c r="HZ12" s="189"/>
      <c r="IA12" s="189"/>
      <c r="IB12" s="202"/>
      <c r="IC12" s="189"/>
      <c r="ID12" s="189"/>
      <c r="IE12" s="189"/>
      <c r="IF12" s="189"/>
      <c r="IG12" s="202"/>
      <c r="IH12" s="189"/>
      <c r="II12" s="189"/>
      <c r="IJ12" s="189"/>
      <c r="IK12" s="189"/>
      <c r="IL12" s="202"/>
      <c r="IM12" s="189"/>
      <c r="IN12" s="189"/>
      <c r="IO12" s="189"/>
      <c r="IP12" s="202"/>
      <c r="IQ12" s="189"/>
      <c r="IR12" s="189"/>
      <c r="IS12" s="189"/>
      <c r="IT12" s="189"/>
      <c r="IU12" s="189"/>
      <c r="IV12" s="189"/>
      <c r="IW12" s="189"/>
      <c r="IX12" s="189"/>
      <c r="IY12" s="189"/>
      <c r="IZ12" s="189"/>
      <c r="JA12" s="189"/>
      <c r="JB12" s="202"/>
      <c r="JC12" s="189"/>
      <c r="JD12" s="202"/>
      <c r="JE12" s="189"/>
      <c r="JF12" s="202"/>
      <c r="JG12" s="189"/>
      <c r="JH12" s="202"/>
      <c r="JI12" s="189"/>
      <c r="JJ12" s="202"/>
      <c r="JK12" s="189"/>
      <c r="JL12" s="202"/>
      <c r="JM12" s="189"/>
      <c r="JN12" s="202"/>
      <c r="JO12" s="189"/>
      <c r="JP12" s="202"/>
      <c r="JQ12" s="189"/>
      <c r="JR12" s="202"/>
      <c r="JS12" s="189"/>
      <c r="JT12" s="202"/>
      <c r="JU12" s="167"/>
      <c r="JV12" s="202"/>
      <c r="JW12" s="167"/>
      <c r="JX12" s="202"/>
      <c r="JY12" s="167"/>
      <c r="JZ12" s="202"/>
      <c r="KA12" s="167"/>
      <c r="KB12" s="167"/>
      <c r="KC12" s="167"/>
      <c r="KD12" s="157"/>
      <c r="KE12" s="167"/>
      <c r="KF12" s="157"/>
      <c r="KG12" s="167"/>
      <c r="KH12" s="157"/>
      <c r="KI12" s="167"/>
      <c r="KJ12" s="157"/>
      <c r="KK12" s="203"/>
      <c r="KL12" s="157"/>
      <c r="KM12" s="167"/>
      <c r="KN12" s="157"/>
      <c r="KO12" s="203"/>
      <c r="KP12" s="157"/>
      <c r="KQ12" s="167"/>
      <c r="KR12" s="157"/>
      <c r="KS12" s="203"/>
      <c r="KT12" s="157"/>
      <c r="KU12" s="167"/>
      <c r="KV12" s="157"/>
      <c r="KW12" s="157"/>
      <c r="KX12" s="157"/>
      <c r="KY12" s="157"/>
      <c r="KZ12" s="157"/>
      <c r="LA12" s="157"/>
      <c r="LB12" s="157"/>
      <c r="LC12" s="157"/>
      <c r="LD12" s="157"/>
      <c r="LE12" s="157"/>
      <c r="LF12" s="157"/>
      <c r="LG12" s="157"/>
      <c r="LH12" s="157"/>
      <c r="LI12" s="157"/>
      <c r="LJ12" s="157"/>
      <c r="LK12" s="157"/>
      <c r="LL12" s="157"/>
      <c r="LM12" s="157"/>
      <c r="LN12" s="157"/>
      <c r="LO12" s="157"/>
      <c r="LP12" s="157"/>
      <c r="LQ12" s="157"/>
      <c r="LR12" s="157"/>
      <c r="LS12" s="157"/>
      <c r="LT12" s="157"/>
      <c r="LU12" s="157"/>
      <c r="LV12" s="157"/>
      <c r="LW12" s="157"/>
      <c r="LX12" s="157"/>
      <c r="LY12" s="157"/>
      <c r="LZ12" s="157"/>
      <c r="MA12" s="157"/>
      <c r="MB12" s="157"/>
      <c r="MC12" s="157"/>
      <c r="MD12" s="157"/>
      <c r="ME12" s="157"/>
      <c r="MF12" s="157"/>
      <c r="MG12" s="157"/>
      <c r="MH12" s="157"/>
      <c r="MI12" s="157"/>
      <c r="MJ12" s="157"/>
      <c r="MK12" s="157"/>
      <c r="ML12" s="157"/>
      <c r="MM12" s="157"/>
      <c r="MN12" s="157"/>
      <c r="MO12" s="157"/>
      <c r="MP12" s="157"/>
      <c r="MQ12" s="157"/>
      <c r="MR12" s="157"/>
      <c r="MS12" s="157"/>
      <c r="MT12" s="157"/>
      <c r="MU12" s="157"/>
      <c r="MV12" s="157"/>
      <c r="MW12" s="157"/>
      <c r="MX12" s="157"/>
      <c r="MY12" s="157"/>
      <c r="MZ12" s="157"/>
      <c r="NA12" s="157"/>
      <c r="NB12" s="157"/>
      <c r="NC12" s="157"/>
      <c r="ND12" s="157"/>
      <c r="NE12" s="157"/>
      <c r="NF12" s="157"/>
      <c r="NG12" s="157"/>
      <c r="NH12" s="157"/>
      <c r="NI12" s="157"/>
      <c r="NJ12" s="157"/>
      <c r="NK12" s="157"/>
      <c r="NL12" s="157"/>
      <c r="NM12" s="157"/>
      <c r="NN12" s="157"/>
      <c r="NO12" s="157"/>
      <c r="NP12" s="157"/>
      <c r="NQ12" s="157"/>
      <c r="NR12" s="157"/>
      <c r="NS12" s="157"/>
      <c r="NT12" s="157"/>
      <c r="NU12" s="157"/>
    </row>
    <row r="13" spans="1:385">
      <c r="A13" s="7"/>
      <c r="B13" s="13"/>
      <c r="C13" s="357"/>
      <c r="D13" s="82"/>
      <c r="E13" s="185"/>
      <c r="F13" s="357"/>
      <c r="G13" s="357"/>
      <c r="H13" s="82"/>
      <c r="I13" s="185"/>
      <c r="J13" s="82"/>
      <c r="K13" s="357"/>
      <c r="L13" s="82"/>
      <c r="M13" s="185"/>
      <c r="N13" s="357"/>
      <c r="O13" s="357"/>
      <c r="P13" s="82"/>
      <c r="Q13" s="185"/>
      <c r="R13" s="82"/>
      <c r="S13" s="185"/>
      <c r="T13" s="82"/>
      <c r="U13" s="185"/>
      <c r="V13" s="357"/>
      <c r="W13" s="185"/>
      <c r="X13" s="82"/>
      <c r="Y13" s="185"/>
      <c r="Z13" s="357"/>
      <c r="AA13" s="357"/>
      <c r="AB13" s="82"/>
      <c r="AC13" s="185"/>
      <c r="AD13" s="357"/>
      <c r="AE13" s="357"/>
      <c r="AF13" s="82"/>
      <c r="AG13" s="185"/>
      <c r="AH13" s="357"/>
      <c r="AI13" s="357"/>
      <c r="AJ13" s="82"/>
      <c r="AK13" s="185"/>
      <c r="AL13" s="357"/>
      <c r="AM13" s="357"/>
      <c r="AN13" s="82"/>
      <c r="AO13" s="185"/>
      <c r="AP13" s="357"/>
      <c r="AQ13" s="357"/>
      <c r="AR13" s="82"/>
      <c r="AS13" s="185"/>
      <c r="AT13" s="357"/>
      <c r="AU13" s="357"/>
      <c r="AV13" s="82"/>
      <c r="AW13" s="185"/>
      <c r="AX13" s="357"/>
      <c r="AY13" s="357"/>
      <c r="AZ13" s="82"/>
      <c r="BA13" s="185"/>
      <c r="BB13" s="357"/>
      <c r="BC13" s="357"/>
      <c r="BD13" s="82"/>
      <c r="BE13" s="185"/>
      <c r="BF13" s="357"/>
      <c r="BG13" s="357"/>
      <c r="BH13" s="82"/>
      <c r="BI13" s="185"/>
      <c r="BJ13" s="357"/>
      <c r="BK13" s="357"/>
      <c r="BL13" s="82"/>
      <c r="BM13" s="185"/>
      <c r="BN13" s="357"/>
      <c r="BO13" s="357"/>
      <c r="BP13" s="82"/>
      <c r="BQ13" s="185"/>
      <c r="BR13" s="357"/>
      <c r="BS13" s="357"/>
      <c r="BT13" s="82"/>
      <c r="BU13" s="185"/>
      <c r="BV13" s="357"/>
      <c r="BW13" s="357"/>
      <c r="BX13" s="82"/>
      <c r="BY13" s="185"/>
      <c r="BZ13" s="357"/>
      <c r="CA13" s="357"/>
      <c r="CB13" s="82"/>
      <c r="CC13" s="185"/>
      <c r="CD13" s="357"/>
      <c r="CE13" s="357"/>
      <c r="CF13" s="82"/>
      <c r="CG13" s="185"/>
      <c r="CH13" s="357"/>
      <c r="CI13" s="357"/>
      <c r="CJ13" s="82"/>
      <c r="CK13" s="185"/>
      <c r="CL13" s="357"/>
      <c r="CM13" s="357"/>
      <c r="CN13" s="82"/>
      <c r="CO13" s="185"/>
      <c r="CP13" s="357"/>
      <c r="CQ13" s="357"/>
      <c r="CR13" s="82"/>
      <c r="CS13" s="185"/>
      <c r="CT13" s="357"/>
      <c r="CU13" s="357"/>
      <c r="CV13" s="82"/>
      <c r="CW13" s="185"/>
      <c r="CX13" s="357"/>
      <c r="CY13" s="357"/>
      <c r="CZ13" s="82"/>
      <c r="DA13" s="185"/>
      <c r="DB13" s="357"/>
      <c r="DC13" s="357"/>
      <c r="DD13" s="82"/>
      <c r="DE13" s="185"/>
      <c r="DF13" s="357"/>
      <c r="DG13" s="357"/>
      <c r="DH13" s="82"/>
      <c r="DI13" s="185"/>
      <c r="DJ13" s="357"/>
      <c r="DK13" s="13"/>
      <c r="DL13" s="82"/>
      <c r="DM13" s="185"/>
      <c r="DN13" s="357"/>
      <c r="DO13" s="357"/>
      <c r="DP13" s="82"/>
      <c r="DQ13" s="185"/>
      <c r="DR13" s="357"/>
      <c r="DS13" s="13"/>
      <c r="DT13" s="82"/>
      <c r="DU13" s="185"/>
      <c r="DV13" s="357"/>
      <c r="DW13" s="357"/>
      <c r="DX13" s="82"/>
      <c r="DY13" s="185"/>
      <c r="DZ13" s="357"/>
      <c r="EA13" s="357"/>
      <c r="EB13" s="82"/>
      <c r="EC13" s="185"/>
      <c r="ED13" s="357"/>
      <c r="EE13" s="357"/>
      <c r="EF13" s="357"/>
      <c r="EG13" s="375"/>
      <c r="EH13" s="357"/>
      <c r="EI13" s="357"/>
      <c r="EJ13" s="357"/>
      <c r="EK13" s="375"/>
      <c r="EL13" s="383"/>
      <c r="EM13" s="357"/>
      <c r="EN13" s="357"/>
      <c r="EO13" s="375"/>
      <c r="EP13" s="357"/>
      <c r="EQ13" s="357"/>
      <c r="ER13" s="357"/>
      <c r="ES13" s="375"/>
      <c r="ET13" s="357"/>
      <c r="EU13" s="357"/>
      <c r="EV13" s="357"/>
      <c r="EW13" s="357"/>
      <c r="EX13" s="375"/>
      <c r="EY13" s="357"/>
      <c r="EZ13" s="357"/>
      <c r="FA13" s="357"/>
      <c r="FB13" s="375"/>
      <c r="FC13" s="357"/>
      <c r="FD13" s="357"/>
      <c r="FE13" s="357"/>
      <c r="FF13" s="375"/>
      <c r="FG13" s="357"/>
      <c r="FH13" s="357"/>
      <c r="FI13" s="357"/>
      <c r="FJ13" s="375"/>
      <c r="FK13" s="357"/>
      <c r="FL13" s="357"/>
      <c r="FM13" s="357"/>
      <c r="FN13" s="375"/>
      <c r="FO13" s="357"/>
      <c r="FP13" s="357"/>
      <c r="FQ13" s="357"/>
      <c r="FR13" s="375"/>
      <c r="FS13" s="357"/>
      <c r="FT13" s="357"/>
      <c r="FU13" s="357"/>
      <c r="FV13" s="375"/>
      <c r="FW13" s="357"/>
      <c r="FX13" s="13"/>
      <c r="FY13" s="189"/>
      <c r="FZ13" s="185"/>
      <c r="GA13" s="189"/>
      <c r="GB13" s="189"/>
      <c r="GC13" s="189"/>
      <c r="GD13" s="185"/>
      <c r="GE13" s="189"/>
      <c r="GF13" s="189"/>
      <c r="GG13" s="189"/>
      <c r="GH13" s="185"/>
      <c r="GI13" s="189"/>
      <c r="GJ13" s="13"/>
      <c r="GK13" s="189"/>
      <c r="GL13" s="185"/>
      <c r="GM13" s="189"/>
      <c r="GN13" s="189"/>
      <c r="GO13" s="189"/>
      <c r="GP13" s="185"/>
      <c r="GQ13" s="189"/>
      <c r="GR13" s="189"/>
      <c r="GS13" s="189"/>
      <c r="GT13" s="185"/>
      <c r="GU13" s="189"/>
      <c r="GV13" s="189"/>
      <c r="GW13" s="189"/>
      <c r="GX13" s="185"/>
      <c r="GY13" s="189"/>
      <c r="GZ13" s="189"/>
      <c r="HA13" s="189"/>
      <c r="HB13" s="185"/>
      <c r="HC13" s="189"/>
      <c r="HD13" s="189"/>
      <c r="HE13" s="189"/>
      <c r="HF13" s="185"/>
      <c r="HG13" s="189"/>
      <c r="HH13" s="189"/>
      <c r="HI13" s="189"/>
      <c r="HJ13" s="185"/>
      <c r="HK13" s="189"/>
      <c r="HL13" s="189"/>
      <c r="HM13" s="189"/>
      <c r="HN13" s="185"/>
      <c r="HO13" s="189"/>
      <c r="HP13" s="189"/>
      <c r="HQ13" s="189"/>
      <c r="HR13" s="189"/>
      <c r="HS13" s="185"/>
      <c r="HT13" s="189"/>
      <c r="HU13" s="189"/>
      <c r="HV13" s="189"/>
      <c r="HW13" s="185"/>
      <c r="HX13" s="189"/>
      <c r="HY13" s="189"/>
      <c r="HZ13" s="189"/>
      <c r="IA13" s="189"/>
      <c r="IB13" s="185"/>
      <c r="IC13" s="189"/>
      <c r="ID13" s="189"/>
      <c r="IE13" s="189"/>
      <c r="IF13" s="189"/>
      <c r="IG13" s="185"/>
      <c r="IH13" s="189"/>
      <c r="II13" s="189"/>
      <c r="IJ13" s="189"/>
      <c r="IK13" s="189"/>
      <c r="IL13" s="185"/>
      <c r="IM13" s="189"/>
      <c r="IN13" s="189"/>
      <c r="IO13" s="189"/>
      <c r="IP13" s="185"/>
      <c r="IQ13" s="189"/>
      <c r="IR13" s="189"/>
      <c r="IS13" s="189"/>
      <c r="IT13" s="189"/>
      <c r="IU13" s="189"/>
      <c r="IV13" s="189"/>
      <c r="IW13" s="189"/>
      <c r="IX13" s="189"/>
      <c r="IY13" s="189"/>
      <c r="IZ13" s="189"/>
      <c r="JA13" s="189"/>
      <c r="JB13" s="185"/>
      <c r="JC13" s="189"/>
      <c r="JD13" s="185"/>
      <c r="JE13" s="189"/>
      <c r="JF13" s="185"/>
      <c r="JG13" s="189"/>
      <c r="JH13" s="185"/>
      <c r="JI13" s="189"/>
      <c r="JJ13" s="185"/>
      <c r="JK13" s="189"/>
      <c r="JL13" s="185"/>
      <c r="JM13" s="189"/>
      <c r="JN13" s="185"/>
      <c r="JO13" s="189"/>
      <c r="JP13" s="185"/>
      <c r="JQ13" s="189"/>
      <c r="JR13" s="185"/>
      <c r="JS13" s="189"/>
      <c r="JT13" s="185"/>
      <c r="JU13" s="202"/>
      <c r="JV13" s="185"/>
      <c r="JW13" s="202"/>
      <c r="JX13" s="185"/>
      <c r="JY13" s="202"/>
      <c r="JZ13" s="185"/>
      <c r="KA13" s="202"/>
      <c r="KB13" s="202"/>
      <c r="KC13" s="202"/>
      <c r="KD13" s="157"/>
      <c r="KE13" s="202"/>
      <c r="KF13" s="157"/>
      <c r="KG13" s="202"/>
      <c r="KH13" s="157"/>
      <c r="KI13" s="202"/>
      <c r="KJ13" s="157"/>
      <c r="KK13" s="202"/>
      <c r="KL13" s="157"/>
      <c r="KM13" s="202"/>
      <c r="KN13" s="157"/>
      <c r="KO13" s="202"/>
      <c r="KP13" s="157"/>
      <c r="KQ13" s="202"/>
      <c r="KR13" s="157"/>
      <c r="KS13" s="202"/>
      <c r="KT13" s="157"/>
      <c r="KU13" s="202"/>
      <c r="KV13" s="157"/>
      <c r="KW13" s="157"/>
      <c r="KX13" s="157"/>
      <c r="KY13" s="157"/>
      <c r="KZ13" s="157"/>
      <c r="LA13" s="157"/>
      <c r="LB13" s="157"/>
      <c r="LC13" s="157"/>
      <c r="LD13" s="157"/>
      <c r="LE13" s="157"/>
      <c r="LF13" s="157"/>
      <c r="LG13" s="157"/>
      <c r="LH13" s="157"/>
      <c r="LI13" s="157"/>
      <c r="LJ13" s="157"/>
      <c r="LK13" s="157"/>
      <c r="LL13" s="157"/>
      <c r="LM13" s="157"/>
      <c r="LN13" s="157"/>
      <c r="LO13" s="157"/>
      <c r="LP13" s="157"/>
      <c r="LQ13" s="157"/>
      <c r="LR13" s="157"/>
      <c r="LS13" s="157"/>
      <c r="LT13" s="157"/>
      <c r="LU13" s="157"/>
      <c r="LV13" s="157"/>
      <c r="LW13" s="157"/>
      <c r="LX13" s="157"/>
      <c r="LY13" s="157"/>
      <c r="LZ13" s="157"/>
      <c r="MA13" s="157"/>
      <c r="MB13" s="157"/>
      <c r="MC13" s="157"/>
      <c r="MD13" s="157"/>
      <c r="ME13" s="157"/>
      <c r="MF13" s="157"/>
      <c r="MG13" s="157"/>
      <c r="MH13" s="157"/>
      <c r="MI13" s="157"/>
      <c r="MJ13" s="157"/>
      <c r="MK13" s="157"/>
      <c r="ML13" s="157"/>
      <c r="MM13" s="157"/>
      <c r="MN13" s="157"/>
      <c r="MO13" s="157"/>
      <c r="MP13" s="157"/>
      <c r="MQ13" s="157"/>
      <c r="MR13" s="157"/>
      <c r="MS13" s="157"/>
      <c r="MT13" s="157"/>
      <c r="MU13" s="157"/>
      <c r="MV13" s="157"/>
      <c r="MW13" s="157"/>
      <c r="MX13" s="157"/>
      <c r="MY13" s="157"/>
      <c r="MZ13" s="157"/>
      <c r="NA13" s="157"/>
      <c r="NB13" s="157"/>
      <c r="NC13" s="157"/>
      <c r="ND13" s="157"/>
      <c r="NE13" s="157"/>
      <c r="NF13" s="157"/>
      <c r="NG13" s="157"/>
      <c r="NH13" s="157"/>
      <c r="NI13" s="157"/>
      <c r="NJ13" s="157"/>
      <c r="NK13" s="157"/>
      <c r="NL13" s="157"/>
      <c r="NM13" s="157"/>
      <c r="NN13" s="157"/>
      <c r="NO13" s="157"/>
      <c r="NP13" s="157"/>
      <c r="NQ13" s="157"/>
      <c r="NR13" s="157"/>
      <c r="NS13" s="157"/>
      <c r="NT13" s="157"/>
      <c r="NU13" s="157"/>
    </row>
    <row r="14" spans="1:385">
      <c r="A14" s="7"/>
      <c r="B14" s="13"/>
      <c r="C14" s="357"/>
      <c r="D14" s="82"/>
      <c r="E14" s="194"/>
      <c r="F14" s="357"/>
      <c r="G14" s="357"/>
      <c r="H14" s="82"/>
      <c r="I14" s="194"/>
      <c r="J14" s="82"/>
      <c r="K14" s="357"/>
      <c r="L14" s="82"/>
      <c r="M14" s="194"/>
      <c r="N14" s="357"/>
      <c r="O14" s="357"/>
      <c r="P14" s="82"/>
      <c r="Q14" s="194"/>
      <c r="R14" s="82"/>
      <c r="S14" s="194"/>
      <c r="T14" s="82"/>
      <c r="U14" s="194"/>
      <c r="V14" s="357"/>
      <c r="W14" s="194"/>
      <c r="X14" s="82"/>
      <c r="Y14" s="194"/>
      <c r="Z14" s="357"/>
      <c r="AA14" s="357"/>
      <c r="AB14" s="82"/>
      <c r="AC14" s="194"/>
      <c r="AD14" s="357"/>
      <c r="AE14" s="357"/>
      <c r="AF14" s="82"/>
      <c r="AG14" s="194"/>
      <c r="AH14" s="357"/>
      <c r="AI14" s="357"/>
      <c r="AJ14" s="82"/>
      <c r="AK14" s="194"/>
      <c r="AL14" s="357"/>
      <c r="AM14" s="357"/>
      <c r="AN14" s="82"/>
      <c r="AO14" s="194"/>
      <c r="AP14" s="357"/>
      <c r="AQ14" s="357"/>
      <c r="AR14" s="82"/>
      <c r="AS14" s="194"/>
      <c r="AT14" s="357"/>
      <c r="AU14" s="357"/>
      <c r="AV14" s="82"/>
      <c r="AW14" s="194"/>
      <c r="AX14" s="357"/>
      <c r="AY14" s="357"/>
      <c r="AZ14" s="82"/>
      <c r="BA14" s="194"/>
      <c r="BB14" s="357"/>
      <c r="BC14" s="357"/>
      <c r="BD14" s="82"/>
      <c r="BE14" s="194"/>
      <c r="BF14" s="357"/>
      <c r="BG14" s="357"/>
      <c r="BH14" s="82"/>
      <c r="BI14" s="194"/>
      <c r="BJ14" s="357"/>
      <c r="BK14" s="357"/>
      <c r="BL14" s="82"/>
      <c r="BM14" s="194"/>
      <c r="BN14" s="357"/>
      <c r="BO14" s="357"/>
      <c r="BP14" s="82"/>
      <c r="BQ14" s="194"/>
      <c r="BR14" s="357"/>
      <c r="BS14" s="357"/>
      <c r="BT14" s="82"/>
      <c r="BU14" s="194"/>
      <c r="BV14" s="357"/>
      <c r="BW14" s="357"/>
      <c r="BX14" s="82"/>
      <c r="BY14" s="194"/>
      <c r="BZ14" s="357"/>
      <c r="CA14" s="357"/>
      <c r="CB14" s="82"/>
      <c r="CC14" s="194"/>
      <c r="CD14" s="357"/>
      <c r="CE14" s="357"/>
      <c r="CF14" s="82"/>
      <c r="CG14" s="194"/>
      <c r="CH14" s="357"/>
      <c r="CI14" s="357"/>
      <c r="CJ14" s="82"/>
      <c r="CK14" s="194"/>
      <c r="CL14" s="357"/>
      <c r="CM14" s="357"/>
      <c r="CN14" s="82"/>
      <c r="CO14" s="194"/>
      <c r="CP14" s="357"/>
      <c r="CQ14" s="357"/>
      <c r="CR14" s="82"/>
      <c r="CS14" s="194"/>
      <c r="CT14" s="357"/>
      <c r="CU14" s="357"/>
      <c r="CV14" s="82"/>
      <c r="CW14" s="194"/>
      <c r="CX14" s="357"/>
      <c r="CY14" s="357"/>
      <c r="CZ14" s="82"/>
      <c r="DA14" s="194"/>
      <c r="DB14" s="357"/>
      <c r="DC14" s="357"/>
      <c r="DD14" s="82"/>
      <c r="DE14" s="194"/>
      <c r="DF14" s="357"/>
      <c r="DG14" s="357"/>
      <c r="DH14" s="82"/>
      <c r="DI14" s="194"/>
      <c r="DJ14" s="357"/>
      <c r="DK14" s="13"/>
      <c r="DL14" s="82"/>
      <c r="DM14" s="194"/>
      <c r="DN14" s="357"/>
      <c r="DO14" s="357"/>
      <c r="DP14" s="82"/>
      <c r="DQ14" s="194"/>
      <c r="DR14" s="357"/>
      <c r="DS14" s="13"/>
      <c r="DT14" s="82"/>
      <c r="DU14" s="194"/>
      <c r="DV14" s="357"/>
      <c r="DW14" s="357"/>
      <c r="DX14" s="82"/>
      <c r="DY14" s="194"/>
      <c r="DZ14" s="357"/>
      <c r="EA14" s="357"/>
      <c r="EB14" s="82"/>
      <c r="EC14" s="194"/>
      <c r="ED14" s="357"/>
      <c r="EE14" s="357"/>
      <c r="EF14" s="357"/>
      <c r="EG14" s="142"/>
      <c r="EH14" s="357"/>
      <c r="EI14" s="357"/>
      <c r="EJ14" s="357"/>
      <c r="EK14" s="142"/>
      <c r="EL14" s="383"/>
      <c r="EM14" s="357"/>
      <c r="EN14" s="357"/>
      <c r="EO14" s="142"/>
      <c r="EP14" s="357"/>
      <c r="EQ14" s="357"/>
      <c r="ER14" s="357"/>
      <c r="ES14" s="142"/>
      <c r="ET14" s="357"/>
      <c r="EU14" s="357"/>
      <c r="EV14" s="357"/>
      <c r="EW14" s="357"/>
      <c r="EX14" s="142"/>
      <c r="EY14" s="357"/>
      <c r="EZ14" s="357"/>
      <c r="FA14" s="357"/>
      <c r="FB14" s="142"/>
      <c r="FC14" s="357"/>
      <c r="FD14" s="357"/>
      <c r="FE14" s="357"/>
      <c r="FF14" s="142"/>
      <c r="FG14" s="357"/>
      <c r="FH14" s="357"/>
      <c r="FI14" s="357"/>
      <c r="FJ14" s="142"/>
      <c r="FK14" s="357"/>
      <c r="FL14" s="357"/>
      <c r="FM14" s="357"/>
      <c r="FN14" s="142"/>
      <c r="FO14" s="357"/>
      <c r="FP14" s="357"/>
      <c r="FQ14" s="357"/>
      <c r="FR14" s="142"/>
      <c r="FS14" s="357"/>
      <c r="FT14" s="357"/>
      <c r="FU14" s="357"/>
      <c r="FV14" s="142"/>
      <c r="FW14" s="357"/>
      <c r="FX14" s="13"/>
      <c r="FY14" s="189"/>
      <c r="FZ14" s="194"/>
      <c r="GA14" s="189"/>
      <c r="GB14" s="189"/>
      <c r="GC14" s="189"/>
      <c r="GD14" s="194"/>
      <c r="GE14" s="189"/>
      <c r="GF14" s="189"/>
      <c r="GG14" s="189"/>
      <c r="GH14" s="194"/>
      <c r="GI14" s="189"/>
      <c r="GJ14" s="13"/>
      <c r="GK14" s="189"/>
      <c r="GL14" s="194"/>
      <c r="GM14" s="189"/>
      <c r="GN14" s="189"/>
      <c r="GO14" s="189"/>
      <c r="GP14" s="194"/>
      <c r="GQ14" s="189"/>
      <c r="GR14" s="189"/>
      <c r="GS14" s="189"/>
      <c r="GT14" s="194"/>
      <c r="GU14" s="189"/>
      <c r="GV14" s="189"/>
      <c r="GW14" s="189"/>
      <c r="GX14" s="194"/>
      <c r="GY14" s="189"/>
      <c r="GZ14" s="189"/>
      <c r="HA14" s="189"/>
      <c r="HB14" s="194"/>
      <c r="HC14" s="189"/>
      <c r="HD14" s="189"/>
      <c r="HE14" s="189"/>
      <c r="HF14" s="194"/>
      <c r="HG14" s="189"/>
      <c r="HH14" s="189"/>
      <c r="HI14" s="189"/>
      <c r="HJ14" s="194"/>
      <c r="HK14" s="189"/>
      <c r="HL14" s="189"/>
      <c r="HM14" s="189"/>
      <c r="HN14" s="194"/>
      <c r="HO14" s="189"/>
      <c r="HP14" s="189"/>
      <c r="HQ14" s="189"/>
      <c r="HR14" s="189"/>
      <c r="HS14" s="194"/>
      <c r="HT14" s="189"/>
      <c r="HU14" s="189"/>
      <c r="HV14" s="189"/>
      <c r="HW14" s="194"/>
      <c r="HX14" s="189"/>
      <c r="HY14" s="189"/>
      <c r="HZ14" s="189"/>
      <c r="IA14" s="189"/>
      <c r="IB14" s="194"/>
      <c r="IC14" s="189"/>
      <c r="ID14" s="189"/>
      <c r="IE14" s="189"/>
      <c r="IF14" s="189"/>
      <c r="IG14" s="194"/>
      <c r="IH14" s="189"/>
      <c r="II14" s="189"/>
      <c r="IJ14" s="189"/>
      <c r="IK14" s="189"/>
      <c r="IL14" s="194"/>
      <c r="IM14" s="189"/>
      <c r="IN14" s="189"/>
      <c r="IO14" s="189"/>
      <c r="IP14" s="194"/>
      <c r="IQ14" s="189"/>
      <c r="IR14" s="189"/>
      <c r="IS14" s="189"/>
      <c r="IT14" s="189"/>
      <c r="IU14" s="189"/>
      <c r="IV14" s="189"/>
      <c r="IW14" s="189"/>
      <c r="IX14" s="189"/>
      <c r="IY14" s="189"/>
      <c r="IZ14" s="189"/>
      <c r="JA14" s="189"/>
      <c r="JB14" s="194"/>
      <c r="JC14" s="189"/>
      <c r="JD14" s="194"/>
      <c r="JE14" s="189"/>
      <c r="JF14" s="194"/>
      <c r="JG14" s="189"/>
      <c r="JH14" s="194"/>
      <c r="JI14" s="189"/>
      <c r="JJ14" s="194"/>
      <c r="JK14" s="189"/>
      <c r="JL14" s="194"/>
      <c r="JM14" s="189"/>
      <c r="JN14" s="194"/>
      <c r="JO14" s="189"/>
      <c r="JP14" s="194"/>
      <c r="JQ14" s="189"/>
      <c r="JR14" s="194"/>
      <c r="JS14" s="189"/>
      <c r="JT14" s="194"/>
      <c r="JU14" s="185"/>
      <c r="JV14" s="194"/>
      <c r="JW14" s="185"/>
      <c r="JX14" s="194"/>
      <c r="JY14" s="185"/>
      <c r="JZ14" s="194"/>
      <c r="KA14" s="185"/>
      <c r="KB14" s="185"/>
      <c r="KC14" s="185"/>
      <c r="KD14" s="157"/>
      <c r="KE14" s="185"/>
      <c r="KF14" s="157"/>
      <c r="KG14" s="185"/>
      <c r="KH14" s="157"/>
      <c r="KI14" s="185"/>
      <c r="KJ14" s="157"/>
      <c r="KK14" s="185"/>
      <c r="KL14" s="157"/>
      <c r="KM14" s="185"/>
      <c r="KN14" s="157"/>
      <c r="KO14" s="185"/>
      <c r="KP14" s="157"/>
      <c r="KQ14" s="185"/>
      <c r="KR14" s="157"/>
      <c r="KS14" s="185"/>
      <c r="KT14" s="157"/>
      <c r="KU14" s="185"/>
      <c r="KV14" s="157"/>
      <c r="KW14" s="157"/>
      <c r="KX14" s="157"/>
      <c r="KY14" s="157"/>
      <c r="KZ14" s="157"/>
      <c r="LA14" s="157"/>
      <c r="LB14" s="157"/>
      <c r="LC14" s="157"/>
      <c r="LD14" s="157"/>
      <c r="LE14" s="157"/>
      <c r="LF14" s="157"/>
      <c r="LG14" s="157"/>
      <c r="LH14" s="157"/>
      <c r="LI14" s="157"/>
      <c r="LJ14" s="157"/>
      <c r="LK14" s="157"/>
      <c r="LL14" s="157"/>
      <c r="LM14" s="157"/>
      <c r="LN14" s="157"/>
      <c r="LO14" s="157"/>
      <c r="LP14" s="157"/>
      <c r="LQ14" s="157"/>
      <c r="LR14" s="157"/>
      <c r="LS14" s="157"/>
      <c r="LT14" s="157"/>
      <c r="LU14" s="157"/>
      <c r="LV14" s="157"/>
      <c r="LW14" s="157"/>
      <c r="LX14" s="157"/>
      <c r="LY14" s="157"/>
      <c r="LZ14" s="157"/>
      <c r="MA14" s="157"/>
      <c r="MB14" s="157"/>
      <c r="MC14" s="157"/>
      <c r="MD14" s="157"/>
      <c r="ME14" s="157"/>
      <c r="MF14" s="157"/>
      <c r="MG14" s="157"/>
      <c r="MH14" s="157"/>
      <c r="MI14" s="157"/>
      <c r="MJ14" s="157"/>
      <c r="MK14" s="157"/>
      <c r="ML14" s="157"/>
      <c r="MM14" s="157"/>
      <c r="MN14" s="157"/>
      <c r="MO14" s="157"/>
      <c r="MP14" s="157"/>
      <c r="MQ14" s="157"/>
      <c r="MR14" s="157"/>
      <c r="MS14" s="157"/>
      <c r="MT14" s="157"/>
      <c r="MU14" s="157"/>
      <c r="MV14" s="157"/>
      <c r="MW14" s="157"/>
      <c r="MX14" s="157"/>
      <c r="MY14" s="157"/>
      <c r="MZ14" s="157"/>
      <c r="NA14" s="157"/>
      <c r="NB14" s="157"/>
      <c r="NC14" s="157"/>
      <c r="ND14" s="157"/>
      <c r="NE14" s="157"/>
      <c r="NF14" s="157"/>
      <c r="NG14" s="157"/>
      <c r="NH14" s="157"/>
      <c r="NI14" s="157"/>
      <c r="NJ14" s="157"/>
      <c r="NK14" s="157"/>
      <c r="NL14" s="157"/>
      <c r="NM14" s="157"/>
      <c r="NN14" s="157"/>
      <c r="NO14" s="157"/>
      <c r="NP14" s="157"/>
      <c r="NQ14" s="157"/>
      <c r="NR14" s="157"/>
      <c r="NS14" s="157"/>
      <c r="NT14" s="157"/>
      <c r="NU14" s="157"/>
    </row>
    <row r="15" spans="1:385">
      <c r="A15" s="7"/>
      <c r="B15" s="13"/>
      <c r="C15" s="357"/>
      <c r="D15" s="82"/>
      <c r="F15" s="357"/>
      <c r="G15" s="357"/>
      <c r="H15" s="82"/>
      <c r="J15" s="82"/>
      <c r="K15" s="357"/>
      <c r="L15" s="82"/>
      <c r="N15" s="357"/>
      <c r="O15" s="357"/>
      <c r="P15" s="82"/>
      <c r="R15" s="82"/>
      <c r="T15" s="82"/>
      <c r="V15" s="357"/>
      <c r="X15" s="82"/>
      <c r="Z15" s="357"/>
      <c r="AA15" s="357"/>
      <c r="AB15" s="82"/>
      <c r="AD15" s="357"/>
      <c r="AE15" s="357"/>
      <c r="AF15" s="82"/>
      <c r="AH15" s="357"/>
      <c r="AI15" s="357"/>
      <c r="AJ15" s="82"/>
      <c r="AL15" s="357"/>
      <c r="AM15" s="357"/>
      <c r="AN15" s="82"/>
      <c r="AP15" s="357"/>
      <c r="AQ15" s="357"/>
      <c r="AR15" s="82"/>
      <c r="AT15" s="357"/>
      <c r="AU15" s="357"/>
      <c r="AV15" s="82"/>
      <c r="AX15" s="357"/>
      <c r="AY15" s="357"/>
      <c r="AZ15" s="82"/>
      <c r="BB15" s="357"/>
      <c r="BC15" s="357"/>
      <c r="BD15" s="82"/>
      <c r="BF15" s="357"/>
      <c r="BG15" s="357"/>
      <c r="BH15" s="82"/>
      <c r="BJ15" s="357"/>
      <c r="BK15" s="357"/>
      <c r="BL15" s="82"/>
      <c r="BN15" s="357"/>
      <c r="BO15" s="357"/>
      <c r="BP15" s="82"/>
      <c r="BR15" s="357"/>
      <c r="BS15" s="357"/>
      <c r="BT15" s="82"/>
      <c r="BV15" s="357"/>
      <c r="BW15" s="357"/>
      <c r="BX15" s="82"/>
      <c r="BZ15" s="357"/>
      <c r="CA15" s="357"/>
      <c r="CB15" s="82"/>
      <c r="CD15" s="357"/>
      <c r="CE15" s="357"/>
      <c r="CF15" s="82"/>
      <c r="CH15" s="357"/>
      <c r="CI15" s="357"/>
      <c r="CJ15" s="82"/>
      <c r="CL15" s="357"/>
      <c r="CM15" s="357"/>
      <c r="CN15" s="82"/>
      <c r="CP15" s="357"/>
      <c r="CQ15" s="357"/>
      <c r="CR15" s="82"/>
      <c r="CT15" s="357"/>
      <c r="CU15" s="357"/>
      <c r="CV15" s="82"/>
      <c r="CX15" s="357"/>
      <c r="CY15" s="357"/>
      <c r="CZ15" s="82"/>
      <c r="DB15" s="357"/>
      <c r="DC15" s="357"/>
      <c r="DD15" s="82"/>
      <c r="DF15" s="357"/>
      <c r="DG15" s="357"/>
      <c r="DH15" s="82"/>
      <c r="DJ15" s="357"/>
      <c r="DK15" s="13"/>
      <c r="DL15" s="82"/>
      <c r="DN15" s="357"/>
      <c r="DO15" s="357"/>
      <c r="DP15" s="82"/>
      <c r="DR15" s="357"/>
      <c r="DS15" s="13"/>
      <c r="DT15" s="82"/>
      <c r="DV15" s="357"/>
      <c r="DW15" s="357"/>
      <c r="DX15" s="82"/>
      <c r="DZ15" s="357"/>
      <c r="EA15" s="357"/>
      <c r="EB15" s="82"/>
      <c r="ED15" s="357"/>
      <c r="EE15" s="357"/>
      <c r="EF15" s="357"/>
      <c r="EH15" s="357"/>
      <c r="EI15" s="357"/>
      <c r="EJ15" s="357"/>
      <c r="EL15" s="383"/>
      <c r="EM15" s="357"/>
      <c r="EN15" s="357"/>
      <c r="EP15" s="357"/>
      <c r="EQ15" s="357"/>
      <c r="ER15" s="357"/>
      <c r="ET15" s="357"/>
      <c r="EU15" s="357"/>
      <c r="EV15" s="357"/>
      <c r="EW15" s="357"/>
      <c r="EY15" s="357"/>
      <c r="EZ15" s="357"/>
      <c r="FA15" s="357"/>
      <c r="FC15" s="357"/>
      <c r="FD15" s="357"/>
      <c r="FE15" s="357"/>
      <c r="FG15" s="357"/>
      <c r="FH15" s="357"/>
      <c r="FI15" s="357"/>
      <c r="FK15" s="357"/>
      <c r="FL15" s="357"/>
      <c r="FM15" s="357"/>
      <c r="FO15" s="357"/>
      <c r="FP15" s="357"/>
      <c r="FQ15" s="357"/>
      <c r="FS15" s="357"/>
      <c r="FT15" s="357"/>
      <c r="FU15" s="357"/>
      <c r="FW15" s="357"/>
      <c r="FX15" s="13"/>
      <c r="FY15" s="189"/>
      <c r="GA15" s="189"/>
      <c r="GB15" s="189"/>
      <c r="GC15" s="189"/>
      <c r="GE15" s="189"/>
      <c r="GF15" s="189"/>
      <c r="GG15" s="189"/>
      <c r="GI15" s="189"/>
      <c r="GJ15" s="13"/>
      <c r="GK15" s="189"/>
      <c r="GL15" s="157"/>
      <c r="GM15" s="189"/>
      <c r="GN15" s="189"/>
      <c r="GO15" s="189"/>
      <c r="GP15" s="157"/>
      <c r="GQ15" s="189"/>
      <c r="GR15" s="189"/>
      <c r="GS15" s="189"/>
      <c r="GT15" s="157"/>
      <c r="GU15" s="189"/>
      <c r="GV15" s="189"/>
      <c r="GW15" s="189"/>
      <c r="GX15" s="157"/>
      <c r="GY15" s="189"/>
      <c r="GZ15" s="189"/>
      <c r="HA15" s="189"/>
      <c r="HB15" s="157"/>
      <c r="HC15" s="189"/>
      <c r="HD15" s="189"/>
      <c r="HE15" s="189"/>
      <c r="HF15" s="157"/>
      <c r="HG15" s="189"/>
      <c r="HH15" s="189"/>
      <c r="HI15" s="189"/>
      <c r="HJ15" s="157"/>
      <c r="HK15" s="189"/>
      <c r="HL15" s="189"/>
      <c r="HM15" s="189"/>
      <c r="HN15" s="157"/>
      <c r="HO15" s="189"/>
      <c r="HP15" s="189"/>
      <c r="HQ15" s="189"/>
      <c r="HR15" s="189"/>
      <c r="HS15" s="157"/>
      <c r="HT15" s="189"/>
      <c r="HU15" s="189"/>
      <c r="HV15" s="189"/>
      <c r="HW15" s="157"/>
      <c r="HX15" s="189"/>
      <c r="HY15" s="189"/>
      <c r="HZ15" s="189"/>
      <c r="IA15" s="189"/>
      <c r="IB15" s="157"/>
      <c r="IC15" s="189"/>
      <c r="ID15" s="189"/>
      <c r="IE15" s="189"/>
      <c r="IF15" s="189"/>
      <c r="IG15" s="157"/>
      <c r="IH15" s="189"/>
      <c r="II15" s="189"/>
      <c r="IJ15" s="189"/>
      <c r="IK15" s="189"/>
      <c r="IL15" s="157"/>
      <c r="IM15" s="189"/>
      <c r="IN15" s="189"/>
      <c r="IO15" s="189"/>
      <c r="IP15" s="157"/>
      <c r="IQ15" s="189"/>
      <c r="IR15" s="189"/>
      <c r="IS15" s="189"/>
      <c r="IT15" s="189"/>
      <c r="IU15" s="189"/>
      <c r="IV15" s="189"/>
      <c r="IW15" s="189"/>
      <c r="IX15" s="189"/>
      <c r="IY15" s="189"/>
      <c r="IZ15" s="189"/>
      <c r="JA15" s="189"/>
      <c r="JB15" s="157"/>
      <c r="JC15" s="189"/>
      <c r="JD15" s="157"/>
      <c r="JE15" s="189"/>
      <c r="JF15" s="157"/>
      <c r="JG15" s="189"/>
      <c r="JH15" s="157"/>
      <c r="JI15" s="189"/>
      <c r="JJ15" s="157"/>
      <c r="JK15" s="189"/>
      <c r="JL15" s="157"/>
      <c r="JM15" s="189"/>
      <c r="JN15" s="157"/>
      <c r="JO15" s="189"/>
      <c r="JP15" s="157"/>
      <c r="JQ15" s="189"/>
      <c r="JR15" s="157"/>
      <c r="JS15" s="189"/>
      <c r="JT15" s="157"/>
      <c r="JU15" s="194"/>
      <c r="JV15" s="157"/>
      <c r="JW15" s="194"/>
      <c r="JX15" s="157"/>
      <c r="JY15" s="194"/>
      <c r="JZ15" s="157"/>
      <c r="KA15" s="194"/>
      <c r="KB15" s="194"/>
      <c r="KC15" s="194"/>
      <c r="KD15" s="157"/>
      <c r="KE15" s="194"/>
      <c r="KF15" s="157"/>
      <c r="KG15" s="194"/>
      <c r="KH15" s="157"/>
      <c r="KI15" s="194"/>
      <c r="KJ15" s="157"/>
      <c r="KK15" s="194"/>
      <c r="KL15" s="157"/>
      <c r="KM15" s="194"/>
      <c r="KN15" s="157"/>
      <c r="KO15" s="194"/>
      <c r="KP15" s="157"/>
      <c r="KQ15" s="194"/>
      <c r="KR15" s="157"/>
      <c r="KS15" s="194"/>
      <c r="KT15" s="157"/>
      <c r="KU15" s="194"/>
      <c r="KV15" s="157"/>
      <c r="KW15" s="157"/>
      <c r="KX15" s="157"/>
      <c r="KY15" s="157"/>
      <c r="KZ15" s="157"/>
      <c r="LA15" s="157"/>
      <c r="LB15" s="157"/>
      <c r="LC15" s="157"/>
      <c r="LD15" s="157"/>
      <c r="LE15" s="157"/>
      <c r="LF15" s="157"/>
      <c r="LG15" s="157"/>
      <c r="LH15" s="157"/>
      <c r="LI15" s="157"/>
      <c r="LJ15" s="157"/>
      <c r="LK15" s="157"/>
      <c r="LL15" s="157"/>
      <c r="LM15" s="157"/>
      <c r="LN15" s="157"/>
      <c r="LO15" s="157"/>
      <c r="LP15" s="157"/>
      <c r="LQ15" s="157"/>
      <c r="LR15" s="157"/>
      <c r="LS15" s="157"/>
      <c r="LT15" s="157"/>
      <c r="LU15" s="157"/>
      <c r="LV15" s="157"/>
      <c r="LW15" s="157"/>
      <c r="LX15" s="157"/>
      <c r="LY15" s="157"/>
      <c r="LZ15" s="157"/>
      <c r="MA15" s="157"/>
      <c r="MB15" s="157"/>
      <c r="MC15" s="157"/>
      <c r="MD15" s="157"/>
      <c r="ME15" s="157"/>
      <c r="MF15" s="157"/>
      <c r="MG15" s="157"/>
      <c r="MH15" s="157"/>
      <c r="MI15" s="157"/>
      <c r="MJ15" s="157"/>
      <c r="MK15" s="157"/>
      <c r="ML15" s="157"/>
      <c r="MM15" s="157"/>
      <c r="MN15" s="157"/>
      <c r="MO15" s="157"/>
      <c r="MP15" s="157"/>
      <c r="MQ15" s="157"/>
      <c r="MR15" s="157"/>
      <c r="MS15" s="157"/>
      <c r="MT15" s="157"/>
      <c r="MU15" s="157"/>
      <c r="MV15" s="157"/>
      <c r="MW15" s="157"/>
      <c r="MX15" s="157"/>
      <c r="MY15" s="157"/>
      <c r="MZ15" s="157"/>
      <c r="NA15" s="157"/>
      <c r="NB15" s="157"/>
      <c r="NC15" s="157"/>
      <c r="ND15" s="157"/>
      <c r="NE15" s="157"/>
      <c r="NF15" s="157"/>
      <c r="NG15" s="157"/>
      <c r="NH15" s="157"/>
      <c r="NI15" s="157"/>
      <c r="NJ15" s="157"/>
      <c r="NK15" s="157"/>
      <c r="NL15" s="157"/>
      <c r="NM15" s="157"/>
      <c r="NN15" s="157"/>
      <c r="NO15" s="157"/>
      <c r="NP15" s="157"/>
      <c r="NQ15" s="157"/>
      <c r="NR15" s="157"/>
      <c r="NS15" s="157"/>
      <c r="NT15" s="157"/>
      <c r="NU15" s="157"/>
    </row>
    <row r="16" spans="1:385">
      <c r="A16" s="7"/>
      <c r="B16" s="13"/>
      <c r="C16" s="357"/>
      <c r="D16" s="82"/>
      <c r="F16" s="357"/>
      <c r="G16" s="357"/>
      <c r="H16" s="82"/>
      <c r="J16" s="82"/>
      <c r="K16" s="357"/>
      <c r="L16" s="82"/>
      <c r="N16" s="357"/>
      <c r="O16" s="357"/>
      <c r="P16" s="82"/>
      <c r="R16" s="82"/>
      <c r="T16" s="82"/>
      <c r="V16" s="357"/>
      <c r="X16" s="82"/>
      <c r="Z16" s="357"/>
      <c r="AA16" s="357"/>
      <c r="AB16" s="82"/>
      <c r="AD16" s="357"/>
      <c r="AE16" s="357"/>
      <c r="AF16" s="82"/>
      <c r="AH16" s="357"/>
      <c r="AI16" s="357"/>
      <c r="AJ16" s="82"/>
      <c r="AL16" s="357"/>
      <c r="AM16" s="357"/>
      <c r="AN16" s="82"/>
      <c r="AP16" s="357"/>
      <c r="AQ16" s="357"/>
      <c r="AR16" s="82"/>
      <c r="AT16" s="357"/>
      <c r="AU16" s="357"/>
      <c r="AV16" s="82"/>
      <c r="AX16" s="357"/>
      <c r="AY16" s="357"/>
      <c r="AZ16" s="82"/>
      <c r="BB16" s="357"/>
      <c r="BC16" s="357"/>
      <c r="BD16" s="82"/>
      <c r="BF16" s="357"/>
      <c r="BG16" s="357"/>
      <c r="BH16" s="82"/>
      <c r="BJ16" s="357"/>
      <c r="BK16" s="357"/>
      <c r="BL16" s="82"/>
      <c r="BN16" s="357"/>
      <c r="BO16" s="357"/>
      <c r="BP16" s="82"/>
      <c r="BR16" s="357"/>
      <c r="BS16" s="357"/>
      <c r="BT16" s="82"/>
      <c r="BV16" s="357"/>
      <c r="BW16" s="357"/>
      <c r="BX16" s="82"/>
      <c r="BZ16" s="357"/>
      <c r="CA16" s="357"/>
      <c r="CB16" s="82"/>
      <c r="CD16" s="357"/>
      <c r="CE16" s="357"/>
      <c r="CF16" s="82"/>
      <c r="CH16" s="357"/>
      <c r="CI16" s="357"/>
      <c r="CJ16" s="82"/>
      <c r="CL16" s="357"/>
      <c r="CM16" s="357"/>
      <c r="CN16" s="82"/>
      <c r="CP16" s="357"/>
      <c r="CQ16" s="357"/>
      <c r="CR16" s="82"/>
      <c r="CT16" s="357"/>
      <c r="CU16" s="357"/>
      <c r="CV16" s="82"/>
      <c r="CX16" s="357"/>
      <c r="CY16" s="357"/>
      <c r="CZ16" s="82"/>
      <c r="DB16" s="357"/>
      <c r="DC16" s="357"/>
      <c r="DD16" s="82"/>
      <c r="DF16" s="357"/>
      <c r="DG16" s="357"/>
      <c r="DH16" s="82"/>
      <c r="DJ16" s="357"/>
      <c r="DK16" s="13"/>
      <c r="DL16" s="82"/>
      <c r="DN16" s="357"/>
      <c r="DO16" s="357"/>
      <c r="DP16" s="82"/>
      <c r="DR16" s="357"/>
      <c r="DS16" s="13"/>
      <c r="DT16" s="82"/>
      <c r="DV16" s="357"/>
      <c r="DW16" s="357"/>
      <c r="DX16" s="82"/>
      <c r="DZ16" s="357"/>
      <c r="EA16" s="357"/>
      <c r="EB16" s="82"/>
      <c r="ED16" s="357"/>
      <c r="EE16" s="357"/>
      <c r="EF16" s="357"/>
      <c r="EH16" s="357"/>
      <c r="EI16" s="357"/>
      <c r="EJ16" s="357"/>
      <c r="EL16" s="383"/>
      <c r="EM16" s="357"/>
      <c r="EN16" s="357"/>
      <c r="EP16" s="357"/>
      <c r="EQ16" s="357"/>
      <c r="ER16" s="357"/>
      <c r="ET16" s="357"/>
      <c r="EU16" s="357"/>
      <c r="EV16" s="357"/>
      <c r="EW16" s="357"/>
      <c r="EY16" s="357"/>
      <c r="EZ16" s="357"/>
      <c r="FA16" s="357"/>
      <c r="FC16" s="357"/>
      <c r="FD16" s="357"/>
      <c r="FE16" s="357"/>
      <c r="FG16" s="357"/>
      <c r="FH16" s="357"/>
      <c r="FI16" s="357"/>
      <c r="FK16" s="357"/>
      <c r="FL16" s="357"/>
      <c r="FM16" s="357"/>
      <c r="FO16" s="357"/>
      <c r="FP16" s="357"/>
      <c r="FQ16" s="357"/>
      <c r="FS16" s="357"/>
      <c r="FT16" s="357"/>
      <c r="FU16" s="357"/>
      <c r="FW16" s="357"/>
      <c r="FX16" s="13"/>
      <c r="FY16" s="189"/>
      <c r="GA16" s="189"/>
      <c r="GB16" s="189"/>
      <c r="GC16" s="189"/>
      <c r="GE16" s="189"/>
      <c r="GF16" s="189"/>
      <c r="GG16" s="189"/>
      <c r="GI16" s="189"/>
      <c r="GJ16" s="13"/>
      <c r="GK16" s="189"/>
      <c r="GL16" s="157"/>
      <c r="GM16" s="189"/>
      <c r="GN16" s="189"/>
      <c r="GO16" s="189"/>
      <c r="GP16" s="157"/>
      <c r="GQ16" s="189"/>
      <c r="GR16" s="189"/>
      <c r="GS16" s="189"/>
      <c r="GT16" s="157"/>
      <c r="GU16" s="189"/>
      <c r="GV16" s="189"/>
      <c r="GW16" s="189"/>
      <c r="GX16" s="157"/>
      <c r="GY16" s="189"/>
      <c r="GZ16" s="189"/>
      <c r="HA16" s="189"/>
      <c r="HB16" s="157"/>
      <c r="HC16" s="189"/>
      <c r="HD16" s="189"/>
      <c r="HE16" s="189"/>
      <c r="HF16" s="157"/>
      <c r="HG16" s="189"/>
      <c r="HH16" s="189"/>
      <c r="HI16" s="189"/>
      <c r="HJ16" s="157"/>
      <c r="HK16" s="189"/>
      <c r="HL16" s="189"/>
      <c r="HM16" s="189"/>
      <c r="HN16" s="157"/>
      <c r="HO16" s="189"/>
      <c r="HP16" s="189"/>
      <c r="HQ16" s="189"/>
      <c r="HR16" s="189"/>
      <c r="HS16" s="157"/>
      <c r="HT16" s="189"/>
      <c r="HU16" s="189"/>
      <c r="HV16" s="189"/>
      <c r="HW16" s="157"/>
      <c r="HX16" s="189"/>
      <c r="HY16" s="189"/>
      <c r="HZ16" s="189"/>
      <c r="IA16" s="189"/>
      <c r="IB16" s="157"/>
      <c r="IC16" s="189"/>
      <c r="ID16" s="189"/>
      <c r="IE16" s="189"/>
      <c r="IF16" s="189"/>
      <c r="IG16" s="157"/>
      <c r="IH16" s="189"/>
      <c r="II16" s="189"/>
      <c r="IJ16" s="189"/>
      <c r="IK16" s="189"/>
      <c r="IL16" s="157"/>
      <c r="IM16" s="189"/>
      <c r="IN16" s="189"/>
      <c r="IO16" s="189"/>
      <c r="IP16" s="157"/>
      <c r="IQ16" s="189"/>
      <c r="IR16" s="189"/>
      <c r="IS16" s="189"/>
      <c r="IT16" s="189"/>
      <c r="IU16" s="189"/>
      <c r="IV16" s="189"/>
      <c r="IW16" s="189"/>
      <c r="IX16" s="189"/>
      <c r="IY16" s="189"/>
      <c r="IZ16" s="189"/>
      <c r="JA16" s="189"/>
      <c r="JB16" s="157"/>
      <c r="JC16" s="189"/>
      <c r="JD16" s="157"/>
      <c r="JE16" s="189"/>
      <c r="JF16" s="157"/>
      <c r="JG16" s="189"/>
      <c r="JH16" s="157"/>
      <c r="JI16" s="189"/>
      <c r="JJ16" s="157"/>
      <c r="JK16" s="189"/>
      <c r="JL16" s="157"/>
      <c r="JM16" s="189"/>
      <c r="JN16" s="157"/>
      <c r="JO16" s="189"/>
      <c r="JP16" s="157"/>
      <c r="JQ16" s="189"/>
      <c r="JR16" s="157"/>
      <c r="JS16" s="189"/>
      <c r="JT16" s="157"/>
      <c r="JU16" s="157"/>
      <c r="JV16" s="157"/>
      <c r="JW16" s="157"/>
      <c r="JX16" s="157"/>
      <c r="JY16" s="157"/>
      <c r="JZ16" s="157"/>
      <c r="KA16" s="157"/>
      <c r="KB16" s="157"/>
      <c r="KC16" s="157"/>
      <c r="KD16" s="157"/>
      <c r="KE16" s="157"/>
      <c r="KF16" s="157"/>
      <c r="KG16" s="157"/>
      <c r="KH16" s="157"/>
      <c r="KI16" s="157"/>
      <c r="KJ16" s="157"/>
      <c r="KK16" s="163"/>
      <c r="KL16" s="157"/>
      <c r="KM16" s="157"/>
      <c r="KN16" s="157"/>
      <c r="KO16" s="163"/>
      <c r="KP16" s="157"/>
      <c r="KQ16" s="157"/>
      <c r="KR16" s="157"/>
      <c r="KS16" s="163"/>
      <c r="KT16" s="157"/>
      <c r="KU16" s="157"/>
      <c r="KV16" s="157"/>
      <c r="KW16" s="157"/>
      <c r="KX16" s="157"/>
      <c r="KY16" s="157"/>
      <c r="KZ16" s="157"/>
      <c r="LA16" s="157"/>
      <c r="LB16" s="157"/>
      <c r="LC16" s="157"/>
      <c r="LD16" s="157"/>
      <c r="LE16" s="157"/>
      <c r="LF16" s="157"/>
      <c r="LG16" s="157"/>
      <c r="LH16" s="157"/>
      <c r="LI16" s="157"/>
      <c r="LJ16" s="157"/>
      <c r="LK16" s="157"/>
      <c r="LL16" s="157"/>
      <c r="LM16" s="157"/>
      <c r="LN16" s="157"/>
      <c r="LO16" s="157"/>
      <c r="LP16" s="157"/>
      <c r="LQ16" s="157"/>
      <c r="LR16" s="157"/>
      <c r="LS16" s="157"/>
      <c r="LT16" s="157"/>
      <c r="LU16" s="157"/>
      <c r="LV16" s="157"/>
      <c r="LW16" s="157"/>
      <c r="LX16" s="157"/>
      <c r="LY16" s="157"/>
      <c r="LZ16" s="157"/>
      <c r="MA16" s="157"/>
      <c r="MB16" s="157"/>
      <c r="MC16" s="157"/>
      <c r="MD16" s="157"/>
      <c r="ME16" s="157"/>
      <c r="MF16" s="157"/>
      <c r="MG16" s="157"/>
      <c r="MH16" s="157"/>
      <c r="MI16" s="157"/>
      <c r="MJ16" s="157"/>
      <c r="MK16" s="157"/>
      <c r="ML16" s="157"/>
      <c r="MM16" s="157"/>
      <c r="MN16" s="157"/>
      <c r="MO16" s="157"/>
      <c r="MP16" s="157"/>
      <c r="MQ16" s="157"/>
      <c r="MR16" s="157"/>
      <c r="MS16" s="157"/>
      <c r="MT16" s="157"/>
      <c r="MU16" s="157"/>
      <c r="MV16" s="157"/>
      <c r="MW16" s="157"/>
      <c r="MX16" s="157"/>
      <c r="MY16" s="157"/>
      <c r="MZ16" s="157"/>
      <c r="NA16" s="157"/>
      <c r="NB16" s="157"/>
      <c r="NC16" s="157"/>
      <c r="ND16" s="157"/>
      <c r="NE16" s="157"/>
      <c r="NF16" s="157"/>
      <c r="NG16" s="157"/>
      <c r="NH16" s="157"/>
      <c r="NI16" s="157"/>
      <c r="NJ16" s="157"/>
      <c r="NK16" s="157"/>
      <c r="NL16" s="157"/>
      <c r="NM16" s="157"/>
      <c r="NN16" s="157"/>
      <c r="NO16" s="157"/>
      <c r="NP16" s="157"/>
      <c r="NQ16" s="157"/>
      <c r="NR16" s="157"/>
      <c r="NS16" s="157"/>
      <c r="NT16" s="157"/>
      <c r="NU16" s="157"/>
    </row>
    <row r="17" spans="1:385">
      <c r="E17" s="179"/>
      <c r="I17" s="179"/>
      <c r="M17" s="179"/>
      <c r="Q17" s="179"/>
      <c r="S17" s="179"/>
      <c r="U17" s="179"/>
      <c r="W17" s="179"/>
      <c r="Y17" s="179"/>
      <c r="AC17" s="179"/>
      <c r="AG17" s="179"/>
      <c r="AK17" s="179"/>
      <c r="AO17" s="179"/>
      <c r="AS17" s="179"/>
      <c r="AW17" s="179"/>
      <c r="BA17" s="179"/>
      <c r="BE17" s="179"/>
      <c r="BI17" s="179"/>
      <c r="BM17" s="179"/>
      <c r="BQ17" s="179"/>
      <c r="BU17" s="179"/>
      <c r="BY17" s="179"/>
      <c r="CC17" s="179"/>
      <c r="CG17" s="179"/>
      <c r="CK17" s="179"/>
      <c r="CO17" s="179"/>
      <c r="CS17" s="179"/>
      <c r="CW17" s="179"/>
      <c r="DA17" s="179"/>
      <c r="DE17" s="179"/>
      <c r="DI17" s="179"/>
      <c r="DM17" s="179"/>
      <c r="DQ17" s="179"/>
      <c r="DU17" s="179"/>
      <c r="DY17" s="179"/>
      <c r="EC17" s="179"/>
      <c r="EG17" s="372"/>
      <c r="EK17" s="372"/>
      <c r="EL17" s="368"/>
      <c r="EO17" s="372"/>
      <c r="ES17" s="372"/>
      <c r="EX17" s="372"/>
      <c r="FB17" s="372"/>
      <c r="FF17" s="372"/>
      <c r="FJ17" s="372"/>
      <c r="FN17" s="372"/>
      <c r="FR17" s="372"/>
      <c r="FV17" s="372"/>
      <c r="FZ17" s="179"/>
      <c r="GD17" s="179"/>
      <c r="GH17" s="179"/>
      <c r="GK17" s="157"/>
      <c r="GL17" s="179"/>
      <c r="GM17" s="157"/>
      <c r="GN17" s="157"/>
      <c r="GO17" s="157"/>
      <c r="GP17" s="179"/>
      <c r="GQ17" s="157"/>
      <c r="GR17" s="157"/>
      <c r="GS17" s="157"/>
      <c r="GT17" s="179"/>
      <c r="GU17" s="157"/>
      <c r="GV17" s="157"/>
      <c r="GW17" s="157"/>
      <c r="GX17" s="179"/>
      <c r="GY17" s="157"/>
      <c r="GZ17" s="157"/>
      <c r="HA17" s="157"/>
      <c r="HB17" s="179"/>
      <c r="HC17" s="157"/>
      <c r="HD17" s="157"/>
      <c r="HE17" s="157"/>
      <c r="HF17" s="179"/>
      <c r="HG17" s="157"/>
      <c r="HH17" s="157"/>
      <c r="HI17" s="157"/>
      <c r="HJ17" s="179"/>
      <c r="HK17" s="157"/>
      <c r="HL17" s="157"/>
      <c r="HM17" s="157"/>
      <c r="HN17" s="179"/>
      <c r="HO17" s="157"/>
      <c r="HP17" s="157"/>
      <c r="HQ17" s="157"/>
      <c r="HR17" s="157"/>
      <c r="HS17" s="179"/>
      <c r="HT17" s="157"/>
      <c r="HU17" s="157"/>
      <c r="HV17" s="157"/>
      <c r="HW17" s="179"/>
      <c r="HX17" s="157"/>
      <c r="HY17" s="157"/>
      <c r="HZ17" s="157"/>
      <c r="IA17" s="157"/>
      <c r="IB17" s="179"/>
      <c r="IC17" s="157"/>
      <c r="ID17" s="157"/>
      <c r="IE17" s="157"/>
      <c r="IF17" s="157"/>
      <c r="IG17" s="179"/>
      <c r="IH17" s="157"/>
      <c r="II17" s="157"/>
      <c r="IJ17" s="157"/>
      <c r="IK17" s="157"/>
      <c r="IL17" s="179"/>
      <c r="IM17" s="157"/>
      <c r="IN17" s="157"/>
      <c r="IO17" s="157"/>
      <c r="IP17" s="179"/>
      <c r="IQ17" s="157"/>
      <c r="IR17" s="157"/>
      <c r="IS17" s="157"/>
      <c r="IT17" s="157"/>
      <c r="IU17" s="157"/>
      <c r="IV17" s="157"/>
      <c r="IW17" s="157"/>
      <c r="IX17" s="157"/>
      <c r="IY17" s="157"/>
      <c r="IZ17" s="157"/>
      <c r="JA17" s="157"/>
      <c r="JB17" s="179"/>
      <c r="JC17" s="157"/>
      <c r="JD17" s="179"/>
      <c r="JE17" s="157"/>
      <c r="JF17" s="179"/>
      <c r="JG17" s="157"/>
      <c r="JH17" s="179"/>
      <c r="JI17" s="157"/>
      <c r="JJ17" s="179"/>
      <c r="JK17" s="157"/>
      <c r="JL17" s="179"/>
      <c r="JM17" s="157"/>
      <c r="JN17" s="179"/>
      <c r="JO17" s="157"/>
      <c r="JP17" s="179"/>
      <c r="JQ17" s="157"/>
      <c r="JR17" s="179"/>
      <c r="JS17" s="157"/>
      <c r="JT17" s="179"/>
      <c r="JU17" s="157"/>
      <c r="JV17" s="179"/>
      <c r="JW17" s="157"/>
      <c r="JX17" s="179"/>
      <c r="JY17" s="157"/>
      <c r="JZ17" s="179"/>
      <c r="KA17" s="157"/>
      <c r="KB17" s="157"/>
      <c r="KC17" s="157"/>
      <c r="KD17" s="157"/>
      <c r="KE17" s="157"/>
      <c r="KF17" s="157"/>
      <c r="KG17" s="157"/>
      <c r="KH17" s="157"/>
      <c r="KI17" s="157"/>
      <c r="KJ17" s="157"/>
      <c r="KK17" s="157"/>
      <c r="KL17" s="157"/>
      <c r="KM17" s="157"/>
      <c r="KN17" s="157"/>
      <c r="KO17" s="157"/>
      <c r="KP17" s="157"/>
      <c r="KQ17" s="157"/>
      <c r="KR17" s="157"/>
      <c r="KS17" s="157"/>
      <c r="KT17" s="157"/>
      <c r="KU17" s="157"/>
      <c r="KV17" s="157"/>
      <c r="KW17" s="157"/>
      <c r="KX17" s="157"/>
      <c r="KY17" s="157"/>
      <c r="KZ17" s="157"/>
      <c r="LA17" s="157"/>
      <c r="LB17" s="157"/>
      <c r="LC17" s="157"/>
      <c r="LD17" s="157"/>
      <c r="LE17" s="157"/>
      <c r="LF17" s="157"/>
      <c r="LG17" s="157"/>
      <c r="LH17" s="157"/>
      <c r="LI17" s="157"/>
      <c r="LJ17" s="157"/>
      <c r="LK17" s="157"/>
      <c r="LL17" s="157"/>
      <c r="LM17" s="157"/>
      <c r="LN17" s="157"/>
      <c r="LO17" s="157"/>
      <c r="LP17" s="157"/>
      <c r="LQ17" s="157"/>
      <c r="LR17" s="157"/>
      <c r="LS17" s="157"/>
      <c r="LT17" s="157"/>
      <c r="LU17" s="157"/>
      <c r="LV17" s="157"/>
      <c r="LW17" s="157"/>
      <c r="LX17" s="157"/>
      <c r="LY17" s="157"/>
      <c r="LZ17" s="157"/>
      <c r="MA17" s="157"/>
      <c r="MB17" s="157"/>
      <c r="MC17" s="157"/>
      <c r="MD17" s="157"/>
      <c r="ME17" s="157"/>
      <c r="MF17" s="157"/>
      <c r="MG17" s="157"/>
      <c r="MH17" s="157"/>
      <c r="MI17" s="157"/>
      <c r="MJ17" s="157"/>
      <c r="MK17" s="157"/>
      <c r="ML17" s="157"/>
      <c r="MM17" s="157"/>
      <c r="MN17" s="157"/>
      <c r="MO17" s="157"/>
      <c r="MP17" s="157"/>
      <c r="MQ17" s="157"/>
      <c r="MR17" s="157"/>
      <c r="MS17" s="157"/>
      <c r="MT17" s="157"/>
      <c r="MU17" s="157"/>
      <c r="MV17" s="157"/>
      <c r="MW17" s="157"/>
      <c r="MX17" s="157"/>
      <c r="MY17" s="157"/>
      <c r="MZ17" s="157"/>
      <c r="NA17" s="157"/>
      <c r="NB17" s="157"/>
      <c r="NC17" s="157"/>
      <c r="ND17" s="157"/>
      <c r="NE17" s="157"/>
      <c r="NF17" s="157"/>
      <c r="NG17" s="157"/>
      <c r="NH17" s="157"/>
      <c r="NI17" s="157"/>
      <c r="NJ17" s="157"/>
      <c r="NK17" s="157"/>
      <c r="NL17" s="157"/>
      <c r="NM17" s="157"/>
      <c r="NN17" s="157"/>
      <c r="NO17" s="157"/>
      <c r="NP17" s="157"/>
      <c r="NQ17" s="157"/>
      <c r="NR17" s="157"/>
      <c r="NS17" s="157"/>
      <c r="NT17" s="157"/>
      <c r="NU17" s="157"/>
    </row>
    <row r="18" spans="1:385" ht="35.25" customHeight="1">
      <c r="A18" s="8"/>
      <c r="B18" s="8" t="s">
        <v>0</v>
      </c>
      <c r="C18" s="373"/>
      <c r="D18" s="347" t="str">
        <f>D2</f>
        <v>Q1-Q3 2024</v>
      </c>
      <c r="F18" s="347" t="str">
        <f t="shared" ref="F18" si="20">F2</f>
        <v>Q1-Q3 2023</v>
      </c>
      <c r="G18" s="157"/>
      <c r="H18" s="347" t="str">
        <f t="shared" ref="H18" si="21">H2</f>
        <v>Q3 2024</v>
      </c>
      <c r="J18" s="347" t="str">
        <f t="shared" ref="J18" si="22">J2</f>
        <v>Q3 2023</v>
      </c>
      <c r="K18" s="157"/>
      <c r="L18" s="347" t="str">
        <f>L2</f>
        <v>H1 2024</v>
      </c>
      <c r="N18" s="347" t="str">
        <f>N2</f>
        <v>H1 2023</v>
      </c>
      <c r="O18" s="373"/>
      <c r="P18" s="347" t="str">
        <f>P2</f>
        <v>Q2 2024</v>
      </c>
      <c r="R18" s="347" t="str">
        <f>R2</f>
        <v>Q2 2023</v>
      </c>
      <c r="T18" s="347" t="str">
        <f>T2</f>
        <v>Q1 2024</v>
      </c>
      <c r="V18" s="363" t="str">
        <f>V2</f>
        <v>Q1 2023</v>
      </c>
      <c r="X18" s="347" t="str">
        <f>X2</f>
        <v>FY 2023</v>
      </c>
      <c r="Z18" s="363" t="str">
        <f>Z2</f>
        <v>FY 2022</v>
      </c>
      <c r="AA18" s="373"/>
      <c r="AB18" s="347" t="str">
        <f>AB2</f>
        <v>Q4 2023</v>
      </c>
      <c r="AD18" s="363" t="str">
        <f>AD2</f>
        <v>Q4 2022</v>
      </c>
      <c r="AE18" s="373"/>
      <c r="AF18" s="347" t="str">
        <f>AF2</f>
        <v>Q1-Q3 2023</v>
      </c>
      <c r="AH18" s="363" t="str">
        <f>AH2</f>
        <v>Q1-Q3 2022</v>
      </c>
      <c r="AI18" s="373"/>
      <c r="AJ18" s="347" t="str">
        <f>AJ2</f>
        <v>Q3 2023</v>
      </c>
      <c r="AL18" s="363" t="str">
        <f>AL2</f>
        <v>Q3 2022</v>
      </c>
      <c r="AM18" s="373"/>
      <c r="AN18" s="347" t="str">
        <f>AN2</f>
        <v>H1 2023</v>
      </c>
      <c r="AP18" s="363" t="str">
        <f>AP2</f>
        <v>H1 2022</v>
      </c>
      <c r="AQ18" s="373"/>
      <c r="AR18" s="347" t="str">
        <f>AR2</f>
        <v>Q2 2023</v>
      </c>
      <c r="AT18" s="363" t="str">
        <f>AT2</f>
        <v>Q2 2022</v>
      </c>
      <c r="AU18" s="373"/>
      <c r="AV18" s="347" t="s">
        <v>794</v>
      </c>
      <c r="AX18" s="363" t="s">
        <v>704</v>
      </c>
      <c r="AY18" s="373"/>
      <c r="AZ18" s="347" t="s">
        <v>767</v>
      </c>
      <c r="BB18" s="363" t="s">
        <v>670</v>
      </c>
      <c r="BC18" s="373"/>
      <c r="BD18" s="347" t="s">
        <v>717</v>
      </c>
      <c r="BF18" s="363" t="s">
        <v>633</v>
      </c>
      <c r="BG18" s="373"/>
      <c r="BH18" s="347" t="s">
        <v>735</v>
      </c>
      <c r="BJ18" s="363" t="s">
        <v>656</v>
      </c>
      <c r="BK18" s="373"/>
      <c r="BL18" s="347" t="s">
        <v>716</v>
      </c>
      <c r="BN18" s="363" t="s">
        <v>634</v>
      </c>
      <c r="BO18" s="373"/>
      <c r="BP18" s="347" t="s">
        <v>714</v>
      </c>
      <c r="BR18" s="363" t="s">
        <v>643</v>
      </c>
      <c r="BS18" s="373"/>
      <c r="BT18" s="347" t="s">
        <v>715</v>
      </c>
      <c r="BV18" s="363" t="s">
        <v>644</v>
      </c>
      <c r="BW18" s="373"/>
      <c r="BX18" s="347" t="s">
        <v>704</v>
      </c>
      <c r="BZ18" s="363" t="s">
        <v>632</v>
      </c>
      <c r="CA18" s="373"/>
      <c r="CB18" s="347" t="str">
        <f>CB2</f>
        <v>FY 2021</v>
      </c>
      <c r="CD18" s="363" t="str">
        <f>CD2</f>
        <v>FY 2020</v>
      </c>
      <c r="CE18" s="373"/>
      <c r="CF18" s="347" t="s">
        <v>634</v>
      </c>
      <c r="CH18" s="363" t="s">
        <v>600</v>
      </c>
      <c r="CI18" s="373"/>
      <c r="CJ18" s="347" t="s">
        <v>656</v>
      </c>
      <c r="CL18" s="363" t="s">
        <v>599</v>
      </c>
      <c r="CM18" s="373"/>
      <c r="CN18" s="347" t="s">
        <v>634</v>
      </c>
      <c r="CP18" s="363" t="s">
        <v>600</v>
      </c>
      <c r="CQ18" s="373"/>
      <c r="CR18" s="347" t="s">
        <v>643</v>
      </c>
      <c r="CT18" s="363" t="s">
        <v>587</v>
      </c>
      <c r="CU18" s="373"/>
      <c r="CV18" s="347" t="s">
        <v>644</v>
      </c>
      <c r="CX18" s="363" t="s">
        <v>586</v>
      </c>
      <c r="CY18" s="373"/>
      <c r="CZ18" s="347" t="str">
        <f>CZ2</f>
        <v>Q1 2021</v>
      </c>
      <c r="DB18" s="347" t="str">
        <f>DB2</f>
        <v>Q1 2020</v>
      </c>
      <c r="DC18" s="373"/>
      <c r="DD18" s="347" t="str">
        <f>DD2</f>
        <v>FY 2020</v>
      </c>
      <c r="DF18" s="363" t="str">
        <f>DF2</f>
        <v>FY 2019</v>
      </c>
      <c r="DG18" s="373"/>
      <c r="DH18" s="347" t="s">
        <v>615</v>
      </c>
      <c r="DJ18" s="363" t="s">
        <v>576</v>
      </c>
      <c r="DK18" s="8"/>
      <c r="DL18" s="347" t="str">
        <f>DL2</f>
        <v>Q1-Q3 2020</v>
      </c>
      <c r="DN18" s="363" t="str">
        <f>DN2</f>
        <v>Q1-Q3 2019</v>
      </c>
      <c r="DO18" s="373"/>
      <c r="DP18" s="347" t="s">
        <v>600</v>
      </c>
      <c r="DR18" s="363" t="s">
        <v>553</v>
      </c>
      <c r="DS18" s="8"/>
      <c r="DT18" s="347" t="s">
        <v>587</v>
      </c>
      <c r="DV18" s="363" t="s">
        <v>540</v>
      </c>
      <c r="DW18" s="373"/>
      <c r="DX18" s="347" t="s">
        <v>586</v>
      </c>
      <c r="DZ18" s="363" t="s">
        <v>539</v>
      </c>
      <c r="EA18" s="373"/>
      <c r="EB18" s="347" t="s">
        <v>577</v>
      </c>
      <c r="ED18" s="363" t="s">
        <v>529</v>
      </c>
      <c r="EE18" s="373"/>
      <c r="EF18" s="353">
        <v>2019</v>
      </c>
      <c r="EH18" s="353">
        <v>2018</v>
      </c>
      <c r="EI18" s="372"/>
      <c r="EJ18" s="353" t="s">
        <v>567</v>
      </c>
      <c r="EL18" s="353" t="s">
        <v>568</v>
      </c>
      <c r="EM18" s="373"/>
      <c r="EN18" s="363" t="s">
        <v>552</v>
      </c>
      <c r="EP18" s="363" t="s">
        <v>500</v>
      </c>
      <c r="EQ18" s="372"/>
      <c r="ER18" s="363" t="s">
        <v>553</v>
      </c>
      <c r="ET18" s="363" t="s">
        <v>501</v>
      </c>
      <c r="EU18" s="372"/>
      <c r="EV18" s="372"/>
      <c r="EW18" s="363" t="s">
        <v>540</v>
      </c>
      <c r="EY18" s="363" t="s">
        <v>438</v>
      </c>
      <c r="EZ18" s="372"/>
      <c r="FA18" s="363" t="s">
        <v>539</v>
      </c>
      <c r="FC18" s="363" t="s">
        <v>439</v>
      </c>
      <c r="FD18" s="372"/>
      <c r="FE18" s="363" t="s">
        <v>529</v>
      </c>
      <c r="FG18" s="363" t="s">
        <v>281</v>
      </c>
      <c r="FH18" s="372"/>
      <c r="FI18" s="363">
        <v>2018</v>
      </c>
      <c r="FK18" s="363">
        <v>2017</v>
      </c>
      <c r="FL18" s="372"/>
      <c r="FM18" s="363" t="s">
        <v>517</v>
      </c>
      <c r="FO18" s="363" t="s">
        <v>441</v>
      </c>
      <c r="FP18" s="372"/>
      <c r="FQ18" s="363" t="s">
        <v>500</v>
      </c>
      <c r="FS18" s="363" t="s">
        <v>329</v>
      </c>
      <c r="FT18" s="372"/>
      <c r="FU18" s="363" t="s">
        <v>501</v>
      </c>
      <c r="FW18" s="363" t="s">
        <v>285</v>
      </c>
      <c r="FX18" s="4"/>
      <c r="FY18" s="151" t="s">
        <v>438</v>
      </c>
      <c r="GA18" s="151" t="s">
        <v>300</v>
      </c>
      <c r="GB18" s="179"/>
      <c r="GC18" s="151" t="s">
        <v>439</v>
      </c>
      <c r="GE18" s="151" t="s">
        <v>287</v>
      </c>
      <c r="GF18" s="179"/>
      <c r="GG18" s="152" t="s">
        <v>281</v>
      </c>
      <c r="GI18" s="151" t="s">
        <v>282</v>
      </c>
      <c r="GJ18" s="135"/>
      <c r="GK18" s="152">
        <v>2017</v>
      </c>
      <c r="GL18" s="157"/>
      <c r="GM18" s="151">
        <v>2016</v>
      </c>
      <c r="GN18" s="179"/>
      <c r="GO18" s="152" t="s">
        <v>283</v>
      </c>
      <c r="GP18" s="157"/>
      <c r="GQ18" s="151" t="s">
        <v>284</v>
      </c>
      <c r="GR18" s="179"/>
      <c r="GS18" s="152" t="s">
        <v>285</v>
      </c>
      <c r="GT18" s="157"/>
      <c r="GU18" s="151" t="s">
        <v>286</v>
      </c>
      <c r="GV18" s="179"/>
      <c r="GW18" s="152" t="s">
        <v>298</v>
      </c>
      <c r="GX18" s="157"/>
      <c r="GY18" s="151" t="s">
        <v>299</v>
      </c>
      <c r="GZ18" s="179"/>
      <c r="HA18" s="152" t="s">
        <v>300</v>
      </c>
      <c r="HB18" s="157"/>
      <c r="HC18" s="151" t="s">
        <v>301</v>
      </c>
      <c r="HD18" s="179"/>
      <c r="HE18" s="152" t="s">
        <v>287</v>
      </c>
      <c r="HF18" s="157"/>
      <c r="HG18" s="151" t="s">
        <v>288</v>
      </c>
      <c r="HH18" s="179"/>
      <c r="HI18" s="152" t="s">
        <v>282</v>
      </c>
      <c r="HJ18" s="157"/>
      <c r="HK18" s="151" t="s">
        <v>302</v>
      </c>
      <c r="HL18" s="179"/>
      <c r="HM18" s="152">
        <v>2016</v>
      </c>
      <c r="HN18" s="157"/>
      <c r="HO18" s="151">
        <v>2015</v>
      </c>
      <c r="HP18" s="179"/>
      <c r="HQ18" s="179"/>
      <c r="HR18" s="152" t="s">
        <v>284</v>
      </c>
      <c r="HS18" s="185"/>
      <c r="HT18" s="151" t="s">
        <v>303</v>
      </c>
      <c r="HU18" s="186"/>
      <c r="HV18" s="152" t="s">
        <v>304</v>
      </c>
      <c r="HW18" s="157"/>
      <c r="HX18" s="151" t="s">
        <v>305</v>
      </c>
      <c r="HY18" s="189"/>
      <c r="HZ18" s="189"/>
      <c r="IA18" s="152" t="s">
        <v>306</v>
      </c>
      <c r="IB18" s="185"/>
      <c r="IC18" s="151" t="s">
        <v>307</v>
      </c>
      <c r="ID18" s="189"/>
      <c r="IE18" s="189"/>
      <c r="IF18" s="152" t="s">
        <v>308</v>
      </c>
      <c r="IG18" s="185"/>
      <c r="IH18" s="151" t="s">
        <v>309</v>
      </c>
      <c r="II18" s="189"/>
      <c r="IJ18" s="189"/>
      <c r="IK18" s="152" t="s">
        <v>310</v>
      </c>
      <c r="IL18" s="185"/>
      <c r="IM18" s="151" t="s">
        <v>311</v>
      </c>
      <c r="IN18" s="189"/>
      <c r="IO18" s="152" t="s">
        <v>312</v>
      </c>
      <c r="IP18" s="185"/>
      <c r="IQ18" s="151" t="s">
        <v>313</v>
      </c>
      <c r="IR18" s="189"/>
      <c r="IS18" s="151">
        <v>2015</v>
      </c>
      <c r="IT18" s="179"/>
      <c r="IU18" s="151">
        <v>2014</v>
      </c>
      <c r="IV18" s="179"/>
      <c r="IW18" s="151" t="s">
        <v>303</v>
      </c>
      <c r="IX18" s="185"/>
      <c r="IY18" s="151" t="s">
        <v>292</v>
      </c>
      <c r="IZ18" s="179"/>
      <c r="JA18" s="151" t="s">
        <v>305</v>
      </c>
      <c r="JB18" s="157"/>
      <c r="JC18" s="151" t="s">
        <v>314</v>
      </c>
      <c r="JD18" s="185"/>
      <c r="JE18" s="151" t="s">
        <v>315</v>
      </c>
      <c r="JF18" s="185"/>
      <c r="JG18" s="151" t="s">
        <v>316</v>
      </c>
      <c r="JH18" s="185"/>
      <c r="JI18" s="151" t="s">
        <v>317</v>
      </c>
      <c r="JJ18" s="185"/>
      <c r="JK18" s="151" t="s">
        <v>290</v>
      </c>
      <c r="JL18" s="185"/>
      <c r="JM18" s="151" t="s">
        <v>318</v>
      </c>
      <c r="JN18" s="185"/>
      <c r="JO18" s="151" t="s">
        <v>296</v>
      </c>
      <c r="JP18" s="185"/>
      <c r="JQ18" s="151" t="s">
        <v>319</v>
      </c>
      <c r="JR18" s="185"/>
      <c r="JS18" s="151" t="s">
        <v>320</v>
      </c>
      <c r="JT18" s="185"/>
      <c r="JU18" s="204">
        <v>2014</v>
      </c>
      <c r="JV18" s="205"/>
      <c r="JW18" s="204">
        <v>2013</v>
      </c>
      <c r="JX18" s="205"/>
      <c r="JY18" s="151" t="s">
        <v>292</v>
      </c>
      <c r="JZ18" s="205"/>
      <c r="KA18" s="151" t="s">
        <v>293</v>
      </c>
      <c r="KB18" s="179"/>
      <c r="KC18" s="151" t="s">
        <v>314</v>
      </c>
      <c r="KD18" s="157"/>
      <c r="KE18" s="151" t="s">
        <v>321</v>
      </c>
      <c r="KF18" s="157"/>
      <c r="KG18" s="151" t="s">
        <v>316</v>
      </c>
      <c r="KH18" s="157"/>
      <c r="KI18" s="151" t="s">
        <v>295</v>
      </c>
      <c r="KJ18" s="157"/>
      <c r="KK18" s="151" t="s">
        <v>290</v>
      </c>
      <c r="KL18" s="157"/>
      <c r="KM18" s="151" t="s">
        <v>291</v>
      </c>
      <c r="KN18" s="157"/>
      <c r="KO18" s="151" t="s">
        <v>296</v>
      </c>
      <c r="KP18" s="157"/>
      <c r="KQ18" s="204" t="s">
        <v>322</v>
      </c>
      <c r="KR18" s="157"/>
      <c r="KS18" s="151" t="s">
        <v>320</v>
      </c>
      <c r="KT18" s="157"/>
      <c r="KU18" s="151" t="s">
        <v>323</v>
      </c>
      <c r="KV18" s="157"/>
      <c r="KW18" s="157"/>
      <c r="KX18" s="157"/>
      <c r="KY18" s="157"/>
      <c r="KZ18" s="157"/>
      <c r="LA18" s="157"/>
      <c r="LB18" s="157"/>
      <c r="LC18" s="157"/>
      <c r="LD18" s="157"/>
      <c r="LE18" s="157"/>
      <c r="LF18" s="157"/>
      <c r="LG18" s="157"/>
      <c r="LH18" s="157"/>
      <c r="LI18" s="157"/>
      <c r="LJ18" s="157"/>
      <c r="LK18" s="157"/>
      <c r="LL18" s="157"/>
      <c r="LM18" s="157"/>
      <c r="LN18" s="157"/>
      <c r="LO18" s="157"/>
      <c r="LP18" s="157"/>
      <c r="LQ18" s="157"/>
      <c r="LR18" s="157"/>
      <c r="LS18" s="157"/>
      <c r="LT18" s="157"/>
      <c r="LU18" s="157"/>
      <c r="LV18" s="157"/>
      <c r="LW18" s="157"/>
      <c r="LX18" s="157"/>
      <c r="LY18" s="157"/>
      <c r="LZ18" s="157"/>
      <c r="MA18" s="157"/>
      <c r="MB18" s="157"/>
      <c r="MC18" s="157"/>
      <c r="MD18" s="157"/>
      <c r="ME18" s="157"/>
      <c r="MF18" s="157"/>
      <c r="MG18" s="157"/>
      <c r="MH18" s="157"/>
      <c r="MI18" s="157"/>
      <c r="MJ18" s="157"/>
      <c r="MK18" s="157"/>
      <c r="ML18" s="157"/>
      <c r="MM18" s="157"/>
      <c r="MN18" s="157"/>
      <c r="MO18" s="157"/>
      <c r="MP18" s="157"/>
      <c r="MQ18" s="157"/>
      <c r="MR18" s="157"/>
      <c r="MS18" s="157"/>
      <c r="MT18" s="157"/>
      <c r="MU18" s="157"/>
      <c r="MV18" s="157"/>
      <c r="MW18" s="157"/>
      <c r="MX18" s="157"/>
      <c r="MY18" s="157"/>
      <c r="MZ18" s="157"/>
      <c r="NA18" s="157"/>
      <c r="NB18" s="157"/>
      <c r="NC18" s="157"/>
      <c r="ND18" s="157"/>
      <c r="NE18" s="157"/>
      <c r="NF18" s="157"/>
      <c r="NG18" s="157"/>
      <c r="NH18" s="157"/>
      <c r="NI18" s="157"/>
      <c r="NJ18" s="157"/>
      <c r="NK18" s="157"/>
      <c r="NL18" s="157"/>
      <c r="NM18" s="157"/>
      <c r="NN18" s="157"/>
      <c r="NO18" s="157"/>
      <c r="NP18" s="157"/>
      <c r="NQ18" s="157"/>
      <c r="NR18" s="157"/>
      <c r="NS18" s="157"/>
      <c r="NT18" s="157"/>
      <c r="NU18" s="157"/>
    </row>
    <row r="19" spans="1:385">
      <c r="A19" s="11" t="s">
        <v>51</v>
      </c>
      <c r="B19" s="12" t="s">
        <v>53</v>
      </c>
      <c r="C19" s="140"/>
      <c r="D19" s="349"/>
      <c r="E19" s="205"/>
      <c r="F19" s="141"/>
      <c r="G19" s="140"/>
      <c r="H19" s="349"/>
      <c r="I19" s="205"/>
      <c r="J19" s="349"/>
      <c r="K19" s="140"/>
      <c r="L19" s="349"/>
      <c r="M19" s="205"/>
      <c r="N19" s="141"/>
      <c r="O19" s="140"/>
      <c r="P19" s="349"/>
      <c r="Q19" s="205"/>
      <c r="R19" s="349"/>
      <c r="S19" s="205"/>
      <c r="T19" s="349"/>
      <c r="U19" s="205"/>
      <c r="V19" s="141"/>
      <c r="W19" s="205"/>
      <c r="X19" s="349"/>
      <c r="Y19" s="205"/>
      <c r="Z19" s="141">
        <f t="shared" ref="Z19:Z22" si="23">AZ19</f>
        <v>5.01</v>
      </c>
      <c r="AA19" s="140"/>
      <c r="AB19" s="349"/>
      <c r="AC19" s="205"/>
      <c r="AD19" s="141">
        <f t="shared" ref="AD19:AD22" si="24">BD19</f>
        <v>1.5999999999999999</v>
      </c>
      <c r="AE19" s="140"/>
      <c r="AF19" s="349"/>
      <c r="AG19" s="205"/>
      <c r="AH19" s="141">
        <f t="shared" ref="AH19:AH22" si="25">BH19</f>
        <v>3.4</v>
      </c>
      <c r="AI19" s="140"/>
      <c r="AJ19" s="349"/>
      <c r="AK19" s="205"/>
      <c r="AL19" s="141">
        <f t="shared" ref="AL19:AL22" si="26">BL19</f>
        <v>0.7</v>
      </c>
      <c r="AM19" s="140"/>
      <c r="AN19" s="349"/>
      <c r="AO19" s="205"/>
      <c r="AP19" s="141">
        <f t="shared" ref="AP19:AP22" si="27">BP19</f>
        <v>2.71</v>
      </c>
      <c r="AQ19" s="140"/>
      <c r="AR19" s="349"/>
      <c r="AS19" s="205"/>
      <c r="AT19" s="141">
        <f t="shared" ref="AT19:AT22" si="28">BT19</f>
        <v>1.25</v>
      </c>
      <c r="AU19" s="140"/>
      <c r="AV19" s="349"/>
      <c r="AW19" s="205"/>
      <c r="AX19" s="141">
        <f t="shared" ref="AX19:AX22" si="29">BX19</f>
        <v>1.45</v>
      </c>
      <c r="AY19" s="140"/>
      <c r="AZ19" s="349">
        <v>5.01</v>
      </c>
      <c r="BA19" s="205"/>
      <c r="BB19" s="141">
        <f t="shared" ref="BB19:BB22" si="30">CB19</f>
        <v>5.15</v>
      </c>
      <c r="BC19" s="140"/>
      <c r="BD19" s="349">
        <f>AZ19-BH19-0.01</f>
        <v>1.5999999999999999</v>
      </c>
      <c r="BE19" s="205"/>
      <c r="BF19" s="141">
        <f t="shared" ref="BF19:BF22" si="31">CB19-CJ19</f>
        <v>1.4500000000000002</v>
      </c>
      <c r="BG19" s="140"/>
      <c r="BH19" s="349">
        <v>3.4</v>
      </c>
      <c r="BI19" s="205"/>
      <c r="BJ19" s="141">
        <v>3.7</v>
      </c>
      <c r="BK19" s="140"/>
      <c r="BL19" s="349">
        <v>0.7</v>
      </c>
      <c r="BM19" s="205"/>
      <c r="BN19" s="141">
        <f t="shared" ref="BN19:BN22" si="32">CN19</f>
        <v>1</v>
      </c>
      <c r="BO19" s="140"/>
      <c r="BP19" s="349">
        <v>2.71</v>
      </c>
      <c r="BQ19" s="205"/>
      <c r="BR19" s="141">
        <v>2.7</v>
      </c>
      <c r="BS19" s="140"/>
      <c r="BT19" s="349">
        <v>1.25</v>
      </c>
      <c r="BU19" s="205"/>
      <c r="BV19" s="141">
        <v>1.26</v>
      </c>
      <c r="BW19" s="140"/>
      <c r="BX19" s="349">
        <v>1.45</v>
      </c>
      <c r="BY19" s="205"/>
      <c r="BZ19" s="141">
        <f t="shared" ref="BZ19:BZ22" si="33">CZ19</f>
        <v>1.43</v>
      </c>
      <c r="CA19" s="140"/>
      <c r="CB19" s="349">
        <v>5.15</v>
      </c>
      <c r="CC19" s="205"/>
      <c r="CD19" s="141">
        <f t="shared" ref="CD19:CD22" si="34">DD19</f>
        <v>4.54</v>
      </c>
      <c r="CE19" s="140"/>
      <c r="CF19" s="349">
        <f t="shared" ref="CF19:CF22" si="35">CB19-CJ19</f>
        <v>1.4500000000000002</v>
      </c>
      <c r="CG19" s="205"/>
      <c r="CH19" s="141">
        <f t="shared" ref="CH19:CH22" si="36">CD19-CL19</f>
        <v>0.95000000000000018</v>
      </c>
      <c r="CI19" s="140"/>
      <c r="CJ19" s="349">
        <v>3.7</v>
      </c>
      <c r="CK19" s="205"/>
      <c r="CL19" s="141">
        <v>3.59</v>
      </c>
      <c r="CM19" s="140"/>
      <c r="CN19" s="349">
        <f t="shared" ref="CN19:CN22" si="37">CJ19-CR19</f>
        <v>1</v>
      </c>
      <c r="CO19" s="205"/>
      <c r="CP19" s="141">
        <f t="shared" ref="CP19:CP22" si="38">CL19-CT19</f>
        <v>1.0999999999999996</v>
      </c>
      <c r="CQ19" s="140"/>
      <c r="CR19" s="349">
        <v>2.7</v>
      </c>
      <c r="CS19" s="205"/>
      <c r="CT19" s="141">
        <v>2.4900000000000002</v>
      </c>
      <c r="CU19" s="140"/>
      <c r="CV19" s="349">
        <f t="shared" ref="CV19:CV22" si="39">CR19-CZ19</f>
        <v>1.2700000000000002</v>
      </c>
      <c r="CW19" s="205"/>
      <c r="CX19" s="141">
        <f t="shared" ref="CX19:CX22" si="40">CT19-DB19</f>
        <v>1.3100000000000003</v>
      </c>
      <c r="CY19" s="140"/>
      <c r="CZ19" s="349">
        <v>1.43</v>
      </c>
      <c r="DA19" s="205"/>
      <c r="DB19" s="141">
        <f t="shared" ref="DB19:DB22" si="41">EB19</f>
        <v>1.18</v>
      </c>
      <c r="DC19" s="140"/>
      <c r="DD19" s="349">
        <v>4.54</v>
      </c>
      <c r="DE19" s="205"/>
      <c r="DF19" s="141">
        <f t="shared" ref="DF19:DF22" si="42">EF19</f>
        <v>3.78</v>
      </c>
      <c r="DG19" s="140"/>
      <c r="DH19" s="349">
        <f t="shared" ref="DH19" si="43">DD19-DL19</f>
        <v>0.95000000000000018</v>
      </c>
      <c r="DI19" s="205"/>
      <c r="DJ19" s="349">
        <f t="shared" ref="DJ19:DJ22" si="44">DF19-DN19</f>
        <v>0.83999999999999986</v>
      </c>
      <c r="DK19" s="12"/>
      <c r="DL19" s="349">
        <v>3.59</v>
      </c>
      <c r="DM19" s="205"/>
      <c r="DN19" s="141">
        <f t="shared" ref="DN19:DN22" si="45">EN19</f>
        <v>2.94</v>
      </c>
      <c r="DO19" s="140"/>
      <c r="DP19" s="349">
        <f t="shared" ref="DP19" si="46">DL19-DT19</f>
        <v>1.0999999999999996</v>
      </c>
      <c r="DQ19" s="205"/>
      <c r="DR19" s="349">
        <f t="shared" ref="DR19:DR22" si="47">DN19-DV19</f>
        <v>0.68000000000000016</v>
      </c>
      <c r="DS19" s="12"/>
      <c r="DT19" s="349">
        <v>2.4900000000000002</v>
      </c>
      <c r="DU19" s="205"/>
      <c r="DV19" s="141">
        <v>2.2599999999999998</v>
      </c>
      <c r="DW19" s="140"/>
      <c r="DX19" s="349">
        <f t="shared" ref="DX19:DZ22" si="48">DT19-EB19</f>
        <v>1.3100000000000003</v>
      </c>
      <c r="DY19" s="205"/>
      <c r="DZ19" s="349">
        <f t="shared" si="48"/>
        <v>0.99999999999999978</v>
      </c>
      <c r="EA19" s="140"/>
      <c r="EB19" s="349">
        <v>1.18</v>
      </c>
      <c r="EC19" s="205"/>
      <c r="ED19" s="141">
        <v>1.26</v>
      </c>
      <c r="EE19" s="140"/>
      <c r="EF19" s="358">
        <v>3.78</v>
      </c>
      <c r="EG19" s="140"/>
      <c r="EH19" s="141">
        <v>5.01</v>
      </c>
      <c r="EI19" s="357"/>
      <c r="EJ19" s="358">
        <v>0.84</v>
      </c>
      <c r="EK19" s="140"/>
      <c r="EL19" s="141">
        <v>1.4</v>
      </c>
      <c r="EM19" s="140"/>
      <c r="EN19" s="141">
        <v>2.94</v>
      </c>
      <c r="EO19" s="140"/>
      <c r="EP19" s="141">
        <v>3.61</v>
      </c>
      <c r="EQ19" s="357"/>
      <c r="ER19" s="141">
        <v>0.69</v>
      </c>
      <c r="ES19" s="140"/>
      <c r="ET19" s="141">
        <v>1.0900000000000001</v>
      </c>
      <c r="EU19" s="140"/>
      <c r="EV19" s="357"/>
      <c r="EW19" s="141">
        <v>2.2599999999999998</v>
      </c>
      <c r="EX19" s="140"/>
      <c r="EY19" s="141">
        <v>2.5299999999999998</v>
      </c>
      <c r="EZ19" s="357"/>
      <c r="FA19" s="141">
        <v>0.99</v>
      </c>
      <c r="FB19" s="140"/>
      <c r="FC19" s="141">
        <v>1.1000000000000001</v>
      </c>
      <c r="FD19" s="357"/>
      <c r="FE19" s="141">
        <v>1.26</v>
      </c>
      <c r="FF19" s="140"/>
      <c r="FG19" s="141">
        <v>1.42</v>
      </c>
      <c r="FH19" s="140"/>
      <c r="FI19" s="141">
        <v>5.01</v>
      </c>
      <c r="FK19" s="141">
        <v>6.45</v>
      </c>
      <c r="FL19" s="357"/>
      <c r="FM19" s="141">
        <v>1.4</v>
      </c>
      <c r="FN19" s="140"/>
      <c r="FO19" s="141">
        <v>1.7700000000000005</v>
      </c>
      <c r="FP19" s="357"/>
      <c r="FQ19" s="141">
        <v>3.61</v>
      </c>
      <c r="FS19" s="141">
        <v>4.68</v>
      </c>
      <c r="FT19" s="357"/>
      <c r="FU19" s="141">
        <v>1.0900000000000001</v>
      </c>
      <c r="FV19" s="140"/>
      <c r="FW19" s="141">
        <v>1.36</v>
      </c>
      <c r="FX19" s="13"/>
      <c r="FY19" s="207">
        <v>2.5299999999999998</v>
      </c>
      <c r="GA19" s="207">
        <v>3.32</v>
      </c>
      <c r="GB19" s="189"/>
      <c r="GC19" s="207">
        <v>1.1000000000000001</v>
      </c>
      <c r="GD19" s="205"/>
      <c r="GE19" s="207">
        <v>1.8099999999999998</v>
      </c>
      <c r="GF19" s="189"/>
      <c r="GG19" s="206">
        <v>1.42</v>
      </c>
      <c r="GH19" s="205"/>
      <c r="GI19" s="207">
        <v>1.51</v>
      </c>
      <c r="GJ19" s="140"/>
      <c r="GK19" s="206">
        <v>6.45</v>
      </c>
      <c r="GL19" s="205"/>
      <c r="GM19" s="207">
        <v>6.37</v>
      </c>
      <c r="GN19" s="189"/>
      <c r="GO19" s="206">
        <v>1.7700000000000005</v>
      </c>
      <c r="GP19" s="205"/>
      <c r="GQ19" s="207">
        <v>2.16</v>
      </c>
      <c r="GR19" s="189"/>
      <c r="GS19" s="206">
        <f>GW19-HA19</f>
        <v>1.3599999999999999</v>
      </c>
      <c r="GT19" s="205"/>
      <c r="GU19" s="207">
        <f>GY19-HC19</f>
        <v>1.73</v>
      </c>
      <c r="GV19" s="189"/>
      <c r="GW19" s="206">
        <v>4.68</v>
      </c>
      <c r="GX19" s="205"/>
      <c r="GY19" s="207">
        <v>4.21</v>
      </c>
      <c r="GZ19" s="189"/>
      <c r="HA19" s="206">
        <v>3.32</v>
      </c>
      <c r="HB19" s="205"/>
      <c r="HC19" s="207">
        <f>IF19</f>
        <v>2.48</v>
      </c>
      <c r="HD19" s="189"/>
      <c r="HE19" s="206">
        <f>HA19-HI19</f>
        <v>1.8099999999999998</v>
      </c>
      <c r="HF19" s="205"/>
      <c r="HG19" s="207">
        <v>1.27</v>
      </c>
      <c r="HH19" s="189"/>
      <c r="HI19" s="206">
        <v>1.51</v>
      </c>
      <c r="HJ19" s="205"/>
      <c r="HK19" s="207">
        <v>1.21</v>
      </c>
      <c r="HL19" s="189"/>
      <c r="HM19" s="206">
        <v>6.37</v>
      </c>
      <c r="HN19" s="205"/>
      <c r="HO19" s="207">
        <v>4.91</v>
      </c>
      <c r="HP19" s="189"/>
      <c r="HQ19" s="189"/>
      <c r="HR19" s="206">
        <v>2.16</v>
      </c>
      <c r="HS19" s="205"/>
      <c r="HT19" s="207">
        <v>1.46</v>
      </c>
      <c r="HU19" s="208"/>
      <c r="HV19" s="206">
        <v>4.21</v>
      </c>
      <c r="HW19" s="205"/>
      <c r="HX19" s="207">
        <v>3.45</v>
      </c>
      <c r="HY19" s="189"/>
      <c r="HZ19" s="189"/>
      <c r="IA19" s="206">
        <v>1.73</v>
      </c>
      <c r="IB19" s="205"/>
      <c r="IC19" s="207">
        <v>1.4400000000000004</v>
      </c>
      <c r="ID19" s="189"/>
      <c r="IE19" s="189"/>
      <c r="IF19" s="206">
        <v>2.48</v>
      </c>
      <c r="IG19" s="205"/>
      <c r="IH19" s="207">
        <v>2.0099999999999998</v>
      </c>
      <c r="II19" s="189"/>
      <c r="IJ19" s="189"/>
      <c r="IK19" s="206">
        <v>1.27</v>
      </c>
      <c r="IL19" s="205"/>
      <c r="IM19" s="207">
        <v>1.0399999999999998</v>
      </c>
      <c r="IN19" s="189"/>
      <c r="IO19" s="206">
        <v>1.21</v>
      </c>
      <c r="IP19" s="205"/>
      <c r="IQ19" s="207">
        <v>0.97</v>
      </c>
      <c r="IR19" s="189"/>
      <c r="IS19" s="207">
        <v>4.91</v>
      </c>
      <c r="IT19" s="189"/>
      <c r="IU19" s="207">
        <v>5.4</v>
      </c>
      <c r="IV19" s="189"/>
      <c r="IW19" s="207">
        <v>1.45</v>
      </c>
      <c r="IX19" s="189"/>
      <c r="IY19" s="207">
        <v>1.41</v>
      </c>
      <c r="IZ19" s="189"/>
      <c r="JA19" s="207">
        <v>3.45</v>
      </c>
      <c r="JB19" s="205"/>
      <c r="JC19" s="207">
        <v>3.99</v>
      </c>
      <c r="JD19" s="205"/>
      <c r="JE19" s="207">
        <v>1.44</v>
      </c>
      <c r="JF19" s="205"/>
      <c r="JG19" s="207">
        <v>1.44</v>
      </c>
      <c r="JH19" s="205"/>
      <c r="JI19" s="207">
        <v>2.0099999999999998</v>
      </c>
      <c r="JJ19" s="205"/>
      <c r="JK19" s="207">
        <v>2.5499999999999998</v>
      </c>
      <c r="JL19" s="205"/>
      <c r="JM19" s="207">
        <v>1.04</v>
      </c>
      <c r="JN19" s="205"/>
      <c r="JO19" s="207">
        <v>1.3</v>
      </c>
      <c r="JP19" s="205"/>
      <c r="JQ19" s="207">
        <v>0.97</v>
      </c>
      <c r="JR19" s="205"/>
      <c r="JS19" s="207">
        <v>1.25</v>
      </c>
      <c r="JT19" s="205"/>
      <c r="JU19" s="207">
        <v>5.4</v>
      </c>
      <c r="JV19" s="205"/>
      <c r="JW19" s="207">
        <v>5.45</v>
      </c>
      <c r="JX19" s="205"/>
      <c r="JY19" s="207">
        <v>1.41</v>
      </c>
      <c r="JZ19" s="205"/>
      <c r="KA19" s="207">
        <v>1.19</v>
      </c>
      <c r="KB19" s="205"/>
      <c r="KC19" s="207">
        <v>3.99</v>
      </c>
      <c r="KD19" s="157"/>
      <c r="KE19" s="207">
        <v>4.26</v>
      </c>
      <c r="KF19" s="157"/>
      <c r="KG19" s="207">
        <v>1.44</v>
      </c>
      <c r="KH19" s="157"/>
      <c r="KI19" s="207">
        <v>1.26</v>
      </c>
      <c r="KJ19" s="157"/>
      <c r="KK19" s="207">
        <v>2.5499999999999998</v>
      </c>
      <c r="KL19" s="157"/>
      <c r="KM19" s="207">
        <v>3</v>
      </c>
      <c r="KN19" s="157"/>
      <c r="KO19" s="207">
        <v>1.3</v>
      </c>
      <c r="KP19" s="157"/>
      <c r="KQ19" s="207">
        <v>1.48</v>
      </c>
      <c r="KR19" s="157"/>
      <c r="KS19" s="207">
        <v>1.25</v>
      </c>
      <c r="KT19" s="157"/>
      <c r="KU19" s="207">
        <v>1.52</v>
      </c>
      <c r="KV19" s="157"/>
      <c r="KW19" s="157"/>
      <c r="KX19" s="157"/>
      <c r="KY19" s="157"/>
      <c r="KZ19" s="157"/>
      <c r="LA19" s="157"/>
      <c r="LB19" s="157"/>
      <c r="LC19" s="157"/>
      <c r="LD19" s="157"/>
      <c r="LE19" s="157"/>
      <c r="LF19" s="157"/>
      <c r="LG19" s="157"/>
      <c r="LH19" s="157"/>
      <c r="LI19" s="157"/>
      <c r="LJ19" s="157"/>
      <c r="LK19" s="157"/>
      <c r="LL19" s="157"/>
      <c r="LM19" s="157"/>
      <c r="LN19" s="157"/>
      <c r="LO19" s="157"/>
      <c r="LP19" s="157"/>
      <c r="LQ19" s="157"/>
      <c r="LR19" s="157"/>
      <c r="LS19" s="157"/>
      <c r="LT19" s="157"/>
      <c r="LU19" s="157"/>
      <c r="LV19" s="157"/>
      <c r="LW19" s="157"/>
      <c r="LX19" s="157"/>
      <c r="LY19" s="157"/>
      <c r="LZ19" s="157"/>
      <c r="MA19" s="157"/>
      <c r="MB19" s="157"/>
      <c r="MC19" s="157"/>
      <c r="MD19" s="157"/>
      <c r="ME19" s="157"/>
      <c r="MF19" s="157"/>
      <c r="MG19" s="157"/>
      <c r="MH19" s="157"/>
      <c r="MI19" s="157"/>
      <c r="MJ19" s="157"/>
      <c r="MK19" s="157"/>
      <c r="ML19" s="157"/>
      <c r="MM19" s="157"/>
      <c r="MN19" s="157"/>
      <c r="MO19" s="157"/>
      <c r="MP19" s="157"/>
      <c r="MQ19" s="157"/>
      <c r="MR19" s="157"/>
      <c r="MS19" s="157"/>
      <c r="MT19" s="157"/>
      <c r="MU19" s="157"/>
      <c r="MV19" s="157"/>
      <c r="MW19" s="157"/>
      <c r="MX19" s="157"/>
      <c r="MY19" s="157"/>
      <c r="MZ19" s="157"/>
      <c r="NA19" s="157"/>
      <c r="NB19" s="157"/>
      <c r="NC19" s="157"/>
      <c r="ND19" s="157"/>
      <c r="NE19" s="157"/>
      <c r="NF19" s="157"/>
      <c r="NG19" s="157"/>
      <c r="NH19" s="157"/>
      <c r="NI19" s="157"/>
      <c r="NJ19" s="157"/>
      <c r="NK19" s="157"/>
      <c r="NL19" s="157"/>
      <c r="NM19" s="157"/>
      <c r="NN19" s="157"/>
      <c r="NO19" s="157"/>
      <c r="NP19" s="157"/>
      <c r="NQ19" s="157"/>
      <c r="NR19" s="157"/>
      <c r="NS19" s="157"/>
      <c r="NT19" s="157"/>
      <c r="NU19" s="157"/>
    </row>
    <row r="20" spans="1:385">
      <c r="A20" s="7" t="s">
        <v>52</v>
      </c>
      <c r="B20" s="13" t="s">
        <v>3</v>
      </c>
      <c r="C20" s="140"/>
      <c r="D20" s="350">
        <f>6.8+1.2</f>
        <v>8</v>
      </c>
      <c r="E20" s="194"/>
      <c r="F20" s="140">
        <f t="shared" ref="F20:F22" si="49">AF20</f>
        <v>8.99</v>
      </c>
      <c r="G20" s="140"/>
      <c r="H20" s="350">
        <f t="shared" ref="H20:H22" si="50">D20-L20</f>
        <v>2.59</v>
      </c>
      <c r="I20" s="194"/>
      <c r="J20" s="140">
        <f t="shared" ref="J20:J22" si="51">AJ20</f>
        <v>2.68</v>
      </c>
      <c r="K20" s="140"/>
      <c r="L20" s="350">
        <f>4.53+0.88</f>
        <v>5.41</v>
      </c>
      <c r="M20" s="194"/>
      <c r="N20" s="140">
        <f>5.43+0.87</f>
        <v>6.3</v>
      </c>
      <c r="O20" s="140"/>
      <c r="P20" s="350">
        <f t="shared" ref="P20:R22" si="52">L20-T20</f>
        <v>2.2000000000000002</v>
      </c>
      <c r="Q20" s="194"/>
      <c r="R20" s="350">
        <f t="shared" si="52"/>
        <v>2.46</v>
      </c>
      <c r="S20" s="194"/>
      <c r="T20" s="350">
        <v>3.21</v>
      </c>
      <c r="U20" s="194"/>
      <c r="V20" s="140">
        <f>AV20</f>
        <v>3.84</v>
      </c>
      <c r="W20" s="194"/>
      <c r="X20" s="350">
        <f>10.99+1.67</f>
        <v>12.66</v>
      </c>
      <c r="Y20" s="194"/>
      <c r="Z20" s="140">
        <f t="shared" si="23"/>
        <v>15.47</v>
      </c>
      <c r="AA20" s="140"/>
      <c r="AB20" s="350">
        <f>X20-AF20</f>
        <v>3.67</v>
      </c>
      <c r="AC20" s="194"/>
      <c r="AD20" s="140">
        <f t="shared" si="24"/>
        <v>4.2900000000000009</v>
      </c>
      <c r="AE20" s="140"/>
      <c r="AF20" s="350">
        <v>8.99</v>
      </c>
      <c r="AG20" s="194"/>
      <c r="AH20" s="140">
        <f t="shared" ref="AH20:AH21" si="53">BH20</f>
        <v>11.17</v>
      </c>
      <c r="AI20" s="140"/>
      <c r="AJ20" s="350">
        <v>2.68</v>
      </c>
      <c r="AK20" s="194"/>
      <c r="AL20" s="140">
        <f t="shared" si="26"/>
        <v>3.32</v>
      </c>
      <c r="AM20" s="140"/>
      <c r="AN20" s="350">
        <v>6.3</v>
      </c>
      <c r="AO20" s="194"/>
      <c r="AP20" s="140">
        <v>7.84</v>
      </c>
      <c r="AQ20" s="140"/>
      <c r="AR20" s="350">
        <v>2.46</v>
      </c>
      <c r="AS20" s="194"/>
      <c r="AT20" s="140">
        <v>3.94</v>
      </c>
      <c r="AU20" s="140"/>
      <c r="AV20" s="350">
        <v>3.84</v>
      </c>
      <c r="AW20" s="194"/>
      <c r="AX20" s="140">
        <f t="shared" si="29"/>
        <v>3.8818000000000001</v>
      </c>
      <c r="AY20" s="140"/>
      <c r="AZ20" s="350">
        <f>1.57+13.9</f>
        <v>15.47</v>
      </c>
      <c r="BA20" s="194"/>
      <c r="BB20" s="140">
        <f t="shared" si="30"/>
        <v>15.59</v>
      </c>
      <c r="BC20" s="140"/>
      <c r="BD20" s="350">
        <f>AZ20-BH20-0.01</f>
        <v>4.2900000000000009</v>
      </c>
      <c r="BE20" s="194"/>
      <c r="BF20" s="140">
        <f t="shared" si="31"/>
        <v>4.2099999999999991</v>
      </c>
      <c r="BG20" s="140"/>
      <c r="BH20" s="350">
        <v>11.17</v>
      </c>
      <c r="BI20" s="194"/>
      <c r="BJ20" s="140">
        <v>11.38</v>
      </c>
      <c r="BK20" s="140"/>
      <c r="BL20" s="350">
        <v>3.32</v>
      </c>
      <c r="BM20" s="194"/>
      <c r="BN20" s="140">
        <f t="shared" si="32"/>
        <v>3.6500000000000004</v>
      </c>
      <c r="BO20" s="140"/>
      <c r="BP20" s="350">
        <v>7.8</v>
      </c>
      <c r="BQ20" s="194"/>
      <c r="BR20" s="140">
        <v>7.73</v>
      </c>
      <c r="BS20" s="140"/>
      <c r="BT20" s="350">
        <f t="shared" ref="BT20:BT22" si="54">BP20-BX20</f>
        <v>3.9181999999999997</v>
      </c>
      <c r="BU20" s="194"/>
      <c r="BV20" s="140">
        <f t="shared" ref="BV20:BV22" si="55">BR20-BZ20</f>
        <v>3.5100000000000007</v>
      </c>
      <c r="BW20" s="140"/>
      <c r="BX20" s="350">
        <f>3.337+0.5448</f>
        <v>3.8818000000000001</v>
      </c>
      <c r="BY20" s="194"/>
      <c r="BZ20" s="140">
        <f t="shared" si="33"/>
        <v>4.22</v>
      </c>
      <c r="CA20" s="140"/>
      <c r="CB20" s="350">
        <f>13.88+1.71</f>
        <v>15.59</v>
      </c>
      <c r="CC20" s="194"/>
      <c r="CD20" s="140">
        <f t="shared" si="34"/>
        <v>12.5</v>
      </c>
      <c r="CE20" s="140"/>
      <c r="CF20" s="350">
        <f t="shared" si="35"/>
        <v>4.2099999999999991</v>
      </c>
      <c r="CG20" s="194"/>
      <c r="CH20" s="140">
        <f t="shared" si="36"/>
        <v>3.7899999999999991</v>
      </c>
      <c r="CI20" s="140"/>
      <c r="CJ20" s="350">
        <v>11.38</v>
      </c>
      <c r="CK20" s="194"/>
      <c r="CL20" s="140">
        <v>8.7100000000000009</v>
      </c>
      <c r="CM20" s="140"/>
      <c r="CN20" s="350">
        <f t="shared" si="37"/>
        <v>3.6500000000000004</v>
      </c>
      <c r="CO20" s="194"/>
      <c r="CP20" s="140">
        <f t="shared" si="38"/>
        <v>2.8400000000000007</v>
      </c>
      <c r="CQ20" s="140"/>
      <c r="CR20" s="350">
        <v>7.73</v>
      </c>
      <c r="CS20" s="194"/>
      <c r="CT20" s="140">
        <v>5.87</v>
      </c>
      <c r="CU20" s="140"/>
      <c r="CV20" s="350">
        <f t="shared" si="39"/>
        <v>3.5100000000000007</v>
      </c>
      <c r="CW20" s="194"/>
      <c r="CX20" s="140">
        <f t="shared" si="40"/>
        <v>2.66</v>
      </c>
      <c r="CY20" s="140"/>
      <c r="CZ20" s="350">
        <v>4.22</v>
      </c>
      <c r="DA20" s="194"/>
      <c r="DB20" s="140">
        <f t="shared" si="41"/>
        <v>3.21</v>
      </c>
      <c r="DC20" s="140"/>
      <c r="DD20" s="350">
        <f>10.56+1.94</f>
        <v>12.5</v>
      </c>
      <c r="DE20" s="194"/>
      <c r="DF20" s="140">
        <f t="shared" si="42"/>
        <v>13.88</v>
      </c>
      <c r="DG20" s="140"/>
      <c r="DH20" s="350">
        <f>DD20-DL20</f>
        <v>3.7899999999999991</v>
      </c>
      <c r="DI20" s="194"/>
      <c r="DJ20" s="350">
        <f t="shared" si="44"/>
        <v>3.4700000000000006</v>
      </c>
      <c r="DK20" s="13"/>
      <c r="DL20" s="350">
        <v>8.7100000000000009</v>
      </c>
      <c r="DM20" s="194"/>
      <c r="DN20" s="140">
        <f t="shared" si="45"/>
        <v>10.41</v>
      </c>
      <c r="DO20" s="140"/>
      <c r="DP20" s="350">
        <f>DL20-DT20</f>
        <v>2.8400000000000007</v>
      </c>
      <c r="DQ20" s="194"/>
      <c r="DR20" s="350">
        <f t="shared" si="47"/>
        <v>3.26</v>
      </c>
      <c r="DS20" s="13"/>
      <c r="DT20" s="350">
        <f>1+4.87</f>
        <v>5.87</v>
      </c>
      <c r="DU20" s="194"/>
      <c r="DV20" s="140">
        <v>7.15</v>
      </c>
      <c r="DW20" s="140"/>
      <c r="DX20" s="350">
        <f>DT20-EB20</f>
        <v>2.66</v>
      </c>
      <c r="DY20" s="194"/>
      <c r="DZ20" s="350">
        <f t="shared" si="48"/>
        <v>3.3300000000000005</v>
      </c>
      <c r="EA20" s="140"/>
      <c r="EB20" s="350">
        <v>3.21</v>
      </c>
      <c r="EC20" s="194"/>
      <c r="ED20" s="140">
        <v>3.82</v>
      </c>
      <c r="EE20" s="140"/>
      <c r="EF20" s="359">
        <v>13.88</v>
      </c>
      <c r="EG20" s="142"/>
      <c r="EH20" s="140">
        <v>16.21</v>
      </c>
      <c r="EI20" s="357"/>
      <c r="EJ20" s="359">
        <v>3.47</v>
      </c>
      <c r="EK20" s="142"/>
      <c r="EL20" s="140">
        <v>4.3</v>
      </c>
      <c r="EM20" s="140"/>
      <c r="EN20" s="140">
        <v>10.41</v>
      </c>
      <c r="EO20" s="142"/>
      <c r="EP20" s="140">
        <v>11.9</v>
      </c>
      <c r="EQ20" s="357"/>
      <c r="ER20" s="140">
        <v>3.26</v>
      </c>
      <c r="ES20" s="142"/>
      <c r="ET20" s="140">
        <v>4.3499999999999996</v>
      </c>
      <c r="EU20" s="140"/>
      <c r="EV20" s="357"/>
      <c r="EW20" s="140">
        <v>7.15</v>
      </c>
      <c r="EX20" s="142"/>
      <c r="EY20" s="140">
        <v>7.55</v>
      </c>
      <c r="EZ20" s="357"/>
      <c r="FA20" s="140">
        <v>3.33</v>
      </c>
      <c r="FB20" s="142"/>
      <c r="FC20" s="140">
        <v>3.62</v>
      </c>
      <c r="FD20" s="357"/>
      <c r="FE20" s="140">
        <v>3.82</v>
      </c>
      <c r="FF20" s="142"/>
      <c r="FG20" s="140">
        <v>3.94</v>
      </c>
      <c r="FH20" s="140"/>
      <c r="FI20" s="140">
        <v>16.21</v>
      </c>
      <c r="FK20" s="142">
        <v>18.41</v>
      </c>
      <c r="FL20" s="357"/>
      <c r="FM20" s="140">
        <v>4.3100000000000005</v>
      </c>
      <c r="FN20" s="142"/>
      <c r="FO20" s="140">
        <v>4.3800000000000008</v>
      </c>
      <c r="FP20" s="357"/>
      <c r="FQ20" s="140">
        <v>11.9</v>
      </c>
      <c r="FS20" s="142">
        <v>14.03</v>
      </c>
      <c r="FT20" s="357"/>
      <c r="FU20" s="140">
        <v>4.3499999999999996</v>
      </c>
      <c r="FV20" s="142"/>
      <c r="FW20" s="140">
        <v>4.57</v>
      </c>
      <c r="FX20" s="13"/>
      <c r="FY20" s="205">
        <v>7.55</v>
      </c>
      <c r="GA20" s="194">
        <v>9.4600000000000009</v>
      </c>
      <c r="GB20" s="189"/>
      <c r="GC20" s="205">
        <v>3.62</v>
      </c>
      <c r="GD20" s="194"/>
      <c r="GE20" s="205">
        <v>4.5599999999999996</v>
      </c>
      <c r="GF20" s="189"/>
      <c r="GG20" s="208">
        <v>3.94</v>
      </c>
      <c r="GH20" s="194"/>
      <c r="GI20" s="205">
        <v>4.8899999999999997</v>
      </c>
      <c r="GJ20" s="140"/>
      <c r="GK20" s="208">
        <v>18.41</v>
      </c>
      <c r="GL20" s="194"/>
      <c r="GM20" s="194">
        <v>16.8</v>
      </c>
      <c r="GN20" s="189"/>
      <c r="GO20" s="208">
        <v>4.3800000000000008</v>
      </c>
      <c r="GP20" s="194"/>
      <c r="GQ20" s="205">
        <v>4.3600000000000003</v>
      </c>
      <c r="GR20" s="189"/>
      <c r="GS20" s="208">
        <f>GW20-HA20</f>
        <v>4.5699999999999985</v>
      </c>
      <c r="GT20" s="194"/>
      <c r="GU20" s="205">
        <f>GY20-HC20</f>
        <v>4</v>
      </c>
      <c r="GV20" s="189"/>
      <c r="GW20" s="208">
        <v>14.03</v>
      </c>
      <c r="GX20" s="194"/>
      <c r="GY20" s="194">
        <v>12.45</v>
      </c>
      <c r="GZ20" s="189"/>
      <c r="HA20" s="208">
        <v>9.4600000000000009</v>
      </c>
      <c r="HB20" s="194"/>
      <c r="HC20" s="194">
        <f>IF20</f>
        <v>8.4499999999999993</v>
      </c>
      <c r="HD20" s="189"/>
      <c r="HE20" s="208">
        <v>4.5599999999999996</v>
      </c>
      <c r="HF20" s="194"/>
      <c r="HG20" s="205">
        <v>4.1399999999999997</v>
      </c>
      <c r="HH20" s="189"/>
      <c r="HI20" s="208">
        <v>4.8899999999999997</v>
      </c>
      <c r="HJ20" s="194"/>
      <c r="HK20" s="194">
        <v>4.3099999999999996</v>
      </c>
      <c r="HL20" s="189"/>
      <c r="HM20" s="208">
        <v>16.8</v>
      </c>
      <c r="HN20" s="194"/>
      <c r="HO20" s="194">
        <v>18.559999999999999</v>
      </c>
      <c r="HP20" s="189"/>
      <c r="HQ20" s="189"/>
      <c r="HR20" s="208">
        <v>4.3500000000000014</v>
      </c>
      <c r="HS20" s="194"/>
      <c r="HT20" s="194">
        <v>4.759999999999998</v>
      </c>
      <c r="HU20" s="208"/>
      <c r="HV20" s="208">
        <v>12.45</v>
      </c>
      <c r="HW20" s="194"/>
      <c r="HX20" s="194">
        <v>13.8</v>
      </c>
      <c r="HY20" s="189"/>
      <c r="HZ20" s="189"/>
      <c r="IA20" s="208">
        <v>4</v>
      </c>
      <c r="IB20" s="194"/>
      <c r="IC20" s="194">
        <v>5.0400000000000009</v>
      </c>
      <c r="ID20" s="189"/>
      <c r="IE20" s="189"/>
      <c r="IF20" s="208">
        <v>8.4499999999999993</v>
      </c>
      <c r="IG20" s="194"/>
      <c r="IH20" s="205">
        <v>8.76</v>
      </c>
      <c r="II20" s="189"/>
      <c r="IJ20" s="189"/>
      <c r="IK20" s="208">
        <v>4.1399999999999997</v>
      </c>
      <c r="IL20" s="194"/>
      <c r="IM20" s="205">
        <v>4.3599999999999994</v>
      </c>
      <c r="IN20" s="189"/>
      <c r="IO20" s="208">
        <v>4.3099999999999996</v>
      </c>
      <c r="IP20" s="194"/>
      <c r="IQ20" s="205">
        <v>4.4000000000000004</v>
      </c>
      <c r="IR20" s="189"/>
      <c r="IS20" s="205">
        <v>16.64</v>
      </c>
      <c r="IT20" s="189"/>
      <c r="IU20" s="205">
        <v>15.37</v>
      </c>
      <c r="IV20" s="189"/>
      <c r="IW20" s="205">
        <v>4.25</v>
      </c>
      <c r="IX20" s="189"/>
      <c r="IY20" s="205">
        <v>4.1100000000000003</v>
      </c>
      <c r="IZ20" s="189"/>
      <c r="JA20" s="205">
        <v>12.38</v>
      </c>
      <c r="JB20" s="194"/>
      <c r="JC20" s="205">
        <v>11.27</v>
      </c>
      <c r="JD20" s="194"/>
      <c r="JE20" s="205">
        <v>4.54</v>
      </c>
      <c r="JF20" s="194"/>
      <c r="JG20" s="205">
        <v>3.98</v>
      </c>
      <c r="JH20" s="194"/>
      <c r="JI20" s="205">
        <v>7.84</v>
      </c>
      <c r="JJ20" s="194"/>
      <c r="JK20" s="205">
        <v>7.29</v>
      </c>
      <c r="JL20" s="194"/>
      <c r="JM20" s="205">
        <v>3.92</v>
      </c>
      <c r="JN20" s="194"/>
      <c r="JO20" s="205">
        <v>3.59</v>
      </c>
      <c r="JP20" s="194"/>
      <c r="JQ20" s="205">
        <v>3.93</v>
      </c>
      <c r="JR20" s="194"/>
      <c r="JS20" s="205">
        <v>3.69</v>
      </c>
      <c r="JT20" s="194"/>
      <c r="JU20" s="205">
        <v>15.37</v>
      </c>
      <c r="JV20" s="194"/>
      <c r="JW20" s="205">
        <v>19.39</v>
      </c>
      <c r="JX20" s="194"/>
      <c r="JY20" s="205">
        <v>4.1100000000000003</v>
      </c>
      <c r="JZ20" s="194"/>
      <c r="KA20" s="205">
        <v>5.1100000000000003</v>
      </c>
      <c r="KB20" s="205"/>
      <c r="KC20" s="205">
        <v>11.27</v>
      </c>
      <c r="KD20" s="157"/>
      <c r="KE20" s="205">
        <v>14.28</v>
      </c>
      <c r="KF20" s="157"/>
      <c r="KG20" s="205">
        <v>3.98</v>
      </c>
      <c r="KH20" s="157"/>
      <c r="KI20" s="205">
        <v>4.53</v>
      </c>
      <c r="KJ20" s="157"/>
      <c r="KK20" s="205">
        <v>7.29</v>
      </c>
      <c r="KL20" s="157"/>
      <c r="KM20" s="205">
        <v>9.75</v>
      </c>
      <c r="KN20" s="157"/>
      <c r="KO20" s="205">
        <v>3.59</v>
      </c>
      <c r="KP20" s="157"/>
      <c r="KQ20" s="205">
        <v>4.5999999999999996</v>
      </c>
      <c r="KR20" s="157"/>
      <c r="KS20" s="205">
        <v>3.69</v>
      </c>
      <c r="KT20" s="157"/>
      <c r="KU20" s="205">
        <v>5.15</v>
      </c>
      <c r="KV20" s="157"/>
      <c r="KW20" s="157"/>
      <c r="KX20" s="157"/>
      <c r="KY20" s="157"/>
      <c r="KZ20" s="157"/>
      <c r="LA20" s="157"/>
      <c r="LB20" s="157"/>
      <c r="LC20" s="157"/>
      <c r="LD20" s="157"/>
      <c r="LE20" s="157"/>
      <c r="LF20" s="157"/>
      <c r="LG20" s="157"/>
      <c r="LH20" s="157"/>
      <c r="LI20" s="157"/>
      <c r="LJ20" s="157"/>
      <c r="LK20" s="157"/>
      <c r="LL20" s="157"/>
      <c r="LM20" s="157"/>
      <c r="LN20" s="157"/>
      <c r="LO20" s="157"/>
      <c r="LP20" s="157"/>
      <c r="LQ20" s="157"/>
      <c r="LR20" s="157"/>
      <c r="LS20" s="157"/>
      <c r="LT20" s="157"/>
      <c r="LU20" s="157"/>
      <c r="LV20" s="157"/>
      <c r="LW20" s="157"/>
      <c r="LX20" s="157"/>
      <c r="LY20" s="157"/>
      <c r="LZ20" s="157"/>
      <c r="MA20" s="157"/>
      <c r="MB20" s="157"/>
      <c r="MC20" s="157"/>
      <c r="MD20" s="157"/>
      <c r="ME20" s="157"/>
      <c r="MF20" s="157"/>
      <c r="MG20" s="157"/>
      <c r="MH20" s="157"/>
      <c r="MI20" s="157"/>
      <c r="MJ20" s="157"/>
      <c r="MK20" s="157"/>
      <c r="ML20" s="157"/>
      <c r="MM20" s="157"/>
      <c r="MN20" s="157"/>
      <c r="MO20" s="157"/>
      <c r="MP20" s="157"/>
      <c r="MQ20" s="157"/>
      <c r="MR20" s="157"/>
      <c r="MS20" s="157"/>
      <c r="MT20" s="157"/>
      <c r="MU20" s="157"/>
      <c r="MV20" s="157"/>
      <c r="MW20" s="157"/>
      <c r="MX20" s="157"/>
      <c r="MY20" s="157"/>
      <c r="MZ20" s="157"/>
      <c r="NA20" s="157"/>
      <c r="NB20" s="157"/>
      <c r="NC20" s="157"/>
      <c r="ND20" s="157"/>
      <c r="NE20" s="157"/>
      <c r="NF20" s="157"/>
      <c r="NG20" s="157"/>
      <c r="NH20" s="157"/>
      <c r="NI20" s="157"/>
      <c r="NJ20" s="157"/>
      <c r="NK20" s="157"/>
      <c r="NL20" s="157"/>
      <c r="NM20" s="157"/>
      <c r="NN20" s="157"/>
      <c r="NO20" s="157"/>
      <c r="NP20" s="157"/>
      <c r="NQ20" s="157"/>
      <c r="NR20" s="157"/>
      <c r="NS20" s="157"/>
      <c r="NT20" s="157"/>
      <c r="NU20" s="157"/>
    </row>
    <row r="21" spans="1:385">
      <c r="A21" s="7" t="s">
        <v>40</v>
      </c>
      <c r="B21" s="13" t="s">
        <v>3</v>
      </c>
      <c r="C21" s="140"/>
      <c r="D21" s="350">
        <v>38.51</v>
      </c>
      <c r="E21" s="194"/>
      <c r="F21" s="140">
        <f t="shared" si="49"/>
        <v>38.270000000000003</v>
      </c>
      <c r="G21" s="140"/>
      <c r="H21" s="350">
        <f t="shared" si="50"/>
        <v>12.479999999999997</v>
      </c>
      <c r="I21" s="194"/>
      <c r="J21" s="140">
        <f t="shared" si="51"/>
        <v>12.28</v>
      </c>
      <c r="K21" s="140"/>
      <c r="L21" s="350">
        <v>26.03</v>
      </c>
      <c r="M21" s="194"/>
      <c r="N21" s="140">
        <v>25.98</v>
      </c>
      <c r="O21" s="140"/>
      <c r="P21" s="350">
        <f t="shared" si="52"/>
        <v>12.38</v>
      </c>
      <c r="Q21" s="194"/>
      <c r="R21" s="350">
        <f t="shared" si="52"/>
        <v>12.32</v>
      </c>
      <c r="S21" s="194"/>
      <c r="T21" s="350">
        <v>13.65</v>
      </c>
      <c r="U21" s="194"/>
      <c r="V21" s="140">
        <f>AV21</f>
        <v>13.66</v>
      </c>
      <c r="W21" s="194"/>
      <c r="X21" s="350">
        <v>51.3</v>
      </c>
      <c r="Y21" s="194"/>
      <c r="Z21" s="140">
        <f t="shared" si="23"/>
        <v>53.68</v>
      </c>
      <c r="AA21" s="140"/>
      <c r="AB21" s="350">
        <v>12.28</v>
      </c>
      <c r="AC21" s="194"/>
      <c r="AD21" s="140">
        <f t="shared" si="24"/>
        <v>13.379999999999997</v>
      </c>
      <c r="AE21" s="140"/>
      <c r="AF21" s="350">
        <v>38.270000000000003</v>
      </c>
      <c r="AG21" s="194"/>
      <c r="AH21" s="140">
        <f t="shared" si="53"/>
        <v>40.31</v>
      </c>
      <c r="AI21" s="140"/>
      <c r="AJ21" s="350">
        <v>12.28</v>
      </c>
      <c r="AK21" s="194"/>
      <c r="AL21" s="140">
        <f t="shared" si="26"/>
        <v>12.850000000000001</v>
      </c>
      <c r="AM21" s="140"/>
      <c r="AN21" s="350">
        <v>25.98</v>
      </c>
      <c r="AO21" s="194"/>
      <c r="AP21" s="140">
        <f t="shared" si="27"/>
        <v>27.46</v>
      </c>
      <c r="AQ21" s="140"/>
      <c r="AR21" s="350">
        <v>12.32</v>
      </c>
      <c r="AS21" s="194"/>
      <c r="AT21" s="140">
        <f t="shared" si="28"/>
        <v>13.200000000000001</v>
      </c>
      <c r="AU21" s="140"/>
      <c r="AV21" s="350">
        <v>13.66</v>
      </c>
      <c r="AW21" s="194"/>
      <c r="AX21" s="140">
        <f t="shared" si="29"/>
        <v>14.26</v>
      </c>
      <c r="AY21" s="140"/>
      <c r="AZ21" s="350">
        <v>53.68</v>
      </c>
      <c r="BA21" s="194"/>
      <c r="BB21" s="140">
        <f t="shared" si="30"/>
        <v>53.97</v>
      </c>
      <c r="BC21" s="140"/>
      <c r="BD21" s="350">
        <f>AZ21-BH21+0.01</f>
        <v>13.379999999999997</v>
      </c>
      <c r="BE21" s="194"/>
      <c r="BF21" s="140">
        <f t="shared" si="31"/>
        <v>13.909999999999997</v>
      </c>
      <c r="BG21" s="140"/>
      <c r="BH21" s="350">
        <v>40.31</v>
      </c>
      <c r="BI21" s="194"/>
      <c r="BJ21" s="140">
        <v>40.06</v>
      </c>
      <c r="BK21" s="140"/>
      <c r="BL21" s="350">
        <f t="shared" ref="BL21:BL22" si="56">BH21-BP21</f>
        <v>12.850000000000001</v>
      </c>
      <c r="BM21" s="194"/>
      <c r="BN21" s="140">
        <f t="shared" si="32"/>
        <v>13.3</v>
      </c>
      <c r="BO21" s="140"/>
      <c r="BP21" s="350">
        <v>27.46</v>
      </c>
      <c r="BQ21" s="194"/>
      <c r="BR21" s="140">
        <v>26.76</v>
      </c>
      <c r="BS21" s="140"/>
      <c r="BT21" s="350">
        <f t="shared" si="54"/>
        <v>13.200000000000001</v>
      </c>
      <c r="BU21" s="194"/>
      <c r="BV21" s="140">
        <f t="shared" si="55"/>
        <v>12.970000000000002</v>
      </c>
      <c r="BW21" s="140"/>
      <c r="BX21" s="350">
        <v>14.26</v>
      </c>
      <c r="BY21" s="194"/>
      <c r="BZ21" s="140">
        <f t="shared" si="33"/>
        <v>13.79</v>
      </c>
      <c r="CA21" s="140"/>
      <c r="CB21" s="350">
        <v>53.97</v>
      </c>
      <c r="CC21" s="194"/>
      <c r="CD21" s="140">
        <f t="shared" si="34"/>
        <v>50.26</v>
      </c>
      <c r="CE21" s="140"/>
      <c r="CF21" s="350">
        <f t="shared" si="35"/>
        <v>13.909999999999997</v>
      </c>
      <c r="CG21" s="194"/>
      <c r="CH21" s="140">
        <f t="shared" si="36"/>
        <v>13.32</v>
      </c>
      <c r="CI21" s="140"/>
      <c r="CJ21" s="350">
        <v>40.06</v>
      </c>
      <c r="CK21" s="194"/>
      <c r="CL21" s="140">
        <v>36.94</v>
      </c>
      <c r="CM21" s="140"/>
      <c r="CN21" s="350">
        <f t="shared" si="37"/>
        <v>13.3</v>
      </c>
      <c r="CO21" s="194"/>
      <c r="CP21" s="140">
        <f t="shared" si="38"/>
        <v>12.339999999999996</v>
      </c>
      <c r="CQ21" s="140"/>
      <c r="CR21" s="350">
        <v>26.76</v>
      </c>
      <c r="CS21" s="194"/>
      <c r="CT21" s="140">
        <v>24.6</v>
      </c>
      <c r="CU21" s="140"/>
      <c r="CV21" s="350">
        <f t="shared" si="39"/>
        <v>12.970000000000002</v>
      </c>
      <c r="CW21" s="194"/>
      <c r="CX21" s="140">
        <f t="shared" si="40"/>
        <v>11.350000000000001</v>
      </c>
      <c r="CY21" s="140"/>
      <c r="CZ21" s="350">
        <v>13.79</v>
      </c>
      <c r="DA21" s="194"/>
      <c r="DB21" s="140">
        <f t="shared" si="41"/>
        <v>13.25</v>
      </c>
      <c r="DC21" s="140"/>
      <c r="DD21" s="350">
        <v>50.26</v>
      </c>
      <c r="DE21" s="194"/>
      <c r="DF21" s="140">
        <f t="shared" si="42"/>
        <v>51.73</v>
      </c>
      <c r="DG21" s="140"/>
      <c r="DH21" s="350">
        <f t="shared" ref="DH21:DH22" si="57">DD21-DL21</f>
        <v>13.32</v>
      </c>
      <c r="DI21" s="194"/>
      <c r="DJ21" s="350">
        <f t="shared" si="44"/>
        <v>12.989999999999995</v>
      </c>
      <c r="DK21" s="13"/>
      <c r="DL21" s="350">
        <v>36.94</v>
      </c>
      <c r="DM21" s="194"/>
      <c r="DN21" s="140">
        <f t="shared" si="45"/>
        <v>38.74</v>
      </c>
      <c r="DO21" s="140"/>
      <c r="DP21" s="350">
        <f t="shared" ref="DP21:DP22" si="58">DL21-DT21</f>
        <v>12.339999999999996</v>
      </c>
      <c r="DQ21" s="194"/>
      <c r="DR21" s="350">
        <f t="shared" si="47"/>
        <v>12.660000000000004</v>
      </c>
      <c r="DS21" s="13"/>
      <c r="DT21" s="350">
        <v>24.6</v>
      </c>
      <c r="DU21" s="194"/>
      <c r="DV21" s="140">
        <v>26.08</v>
      </c>
      <c r="DW21" s="140"/>
      <c r="DX21" s="350">
        <f t="shared" si="48"/>
        <v>11.350000000000001</v>
      </c>
      <c r="DY21" s="194"/>
      <c r="DZ21" s="350">
        <f t="shared" si="48"/>
        <v>12.54</v>
      </c>
      <c r="EA21" s="140"/>
      <c r="EB21" s="350">
        <v>13.25</v>
      </c>
      <c r="EC21" s="194"/>
      <c r="ED21" s="140">
        <v>13.54</v>
      </c>
      <c r="EE21" s="140"/>
      <c r="EF21" s="359">
        <v>51.73</v>
      </c>
      <c r="EG21" s="142"/>
      <c r="EH21" s="140">
        <v>51.97</v>
      </c>
      <c r="EI21" s="357"/>
      <c r="EJ21" s="359">
        <v>12.99</v>
      </c>
      <c r="EK21" s="142"/>
      <c r="EL21" s="140">
        <v>13.13</v>
      </c>
      <c r="EM21" s="140"/>
      <c r="EN21" s="140">
        <v>38.74</v>
      </c>
      <c r="EO21" s="142"/>
      <c r="EP21" s="140">
        <v>38.840000000000003</v>
      </c>
      <c r="EQ21" s="357"/>
      <c r="ER21" s="140">
        <v>12.66</v>
      </c>
      <c r="ES21" s="142"/>
      <c r="ET21" s="140">
        <v>12.83</v>
      </c>
      <c r="EU21" s="140"/>
      <c r="EV21" s="357"/>
      <c r="EW21" s="140">
        <v>26.08</v>
      </c>
      <c r="EX21" s="142"/>
      <c r="EY21" s="140">
        <v>26.01</v>
      </c>
      <c r="EZ21" s="357"/>
      <c r="FA21" s="140">
        <v>12.54</v>
      </c>
      <c r="FB21" s="142"/>
      <c r="FC21" s="140">
        <v>12.590000000000002</v>
      </c>
      <c r="FD21" s="357"/>
      <c r="FE21" s="140">
        <v>13.54</v>
      </c>
      <c r="FF21" s="142"/>
      <c r="FG21" s="140">
        <v>13.42</v>
      </c>
      <c r="FH21" s="140"/>
      <c r="FI21" s="140">
        <v>51.97</v>
      </c>
      <c r="FK21" s="142">
        <v>51.37</v>
      </c>
      <c r="FL21" s="357"/>
      <c r="FM21" s="140">
        <v>13.129125999999999</v>
      </c>
      <c r="FN21" s="142"/>
      <c r="FO21" s="140">
        <v>13.062401999999999</v>
      </c>
      <c r="FP21" s="357"/>
      <c r="FQ21" s="140">
        <v>38.840873999999999</v>
      </c>
      <c r="FS21" s="142">
        <v>38.307597999999999</v>
      </c>
      <c r="FT21" s="357"/>
      <c r="FU21" s="140">
        <v>12.83</v>
      </c>
      <c r="FV21" s="142"/>
      <c r="FW21" s="140">
        <v>12.61</v>
      </c>
      <c r="FX21" s="13"/>
      <c r="FY21" s="205">
        <v>26.01</v>
      </c>
      <c r="GA21" s="194">
        <v>25.7</v>
      </c>
      <c r="GB21" s="189"/>
      <c r="GC21" s="205">
        <v>12.590000000000002</v>
      </c>
      <c r="GD21" s="194"/>
      <c r="GE21" s="205">
        <v>12.4</v>
      </c>
      <c r="GF21" s="189"/>
      <c r="GG21" s="208">
        <v>13.42</v>
      </c>
      <c r="GH21" s="194"/>
      <c r="GI21" s="205">
        <v>13.31</v>
      </c>
      <c r="GJ21" s="140"/>
      <c r="GK21" s="208">
        <v>51.37</v>
      </c>
      <c r="GL21" s="194"/>
      <c r="GM21" s="205">
        <v>49.68</v>
      </c>
      <c r="GN21" s="189"/>
      <c r="GO21" s="208">
        <v>13.059999999999995</v>
      </c>
      <c r="GP21" s="194"/>
      <c r="GQ21" s="205">
        <v>12.86</v>
      </c>
      <c r="GR21" s="189"/>
      <c r="GS21" s="208">
        <f>GW21-HA21</f>
        <v>12.610000000000003</v>
      </c>
      <c r="GT21" s="194"/>
      <c r="GU21" s="205">
        <f>GY21-HC21</f>
        <v>12.05</v>
      </c>
      <c r="GV21" s="189"/>
      <c r="GW21" s="208">
        <v>38.31</v>
      </c>
      <c r="GX21" s="194"/>
      <c r="GY21" s="194">
        <v>36.82</v>
      </c>
      <c r="GZ21" s="189"/>
      <c r="HA21" s="208">
        <v>25.7</v>
      </c>
      <c r="HB21" s="194"/>
      <c r="HC21" s="194">
        <f>IF21</f>
        <v>24.77</v>
      </c>
      <c r="HD21" s="189"/>
      <c r="HE21" s="208">
        <v>12.4</v>
      </c>
      <c r="HF21" s="194"/>
      <c r="HG21" s="205">
        <v>12.04</v>
      </c>
      <c r="HH21" s="189"/>
      <c r="HI21" s="208">
        <v>13.31</v>
      </c>
      <c r="HJ21" s="194"/>
      <c r="HK21" s="194">
        <v>12.73</v>
      </c>
      <c r="HL21" s="189"/>
      <c r="HM21" s="208">
        <v>49.68</v>
      </c>
      <c r="HN21" s="194"/>
      <c r="HO21" s="194">
        <v>49.2</v>
      </c>
      <c r="HP21" s="189"/>
      <c r="HQ21" s="189"/>
      <c r="HR21" s="208">
        <v>12.86</v>
      </c>
      <c r="HS21" s="194"/>
      <c r="HT21" s="194">
        <v>12.510000000000005</v>
      </c>
      <c r="HU21" s="208"/>
      <c r="HV21" s="208">
        <v>36.82</v>
      </c>
      <c r="HW21" s="194"/>
      <c r="HX21" s="194">
        <v>36.69</v>
      </c>
      <c r="HY21" s="189"/>
      <c r="HZ21" s="189"/>
      <c r="IA21" s="208">
        <v>12.05</v>
      </c>
      <c r="IB21" s="194"/>
      <c r="IC21" s="194">
        <v>12.099999999999998</v>
      </c>
      <c r="ID21" s="189"/>
      <c r="IE21" s="189"/>
      <c r="IF21" s="208">
        <v>24.77</v>
      </c>
      <c r="IG21" s="194"/>
      <c r="IH21" s="205">
        <v>24.59</v>
      </c>
      <c r="II21" s="189"/>
      <c r="IJ21" s="189"/>
      <c r="IK21" s="208">
        <v>12.04</v>
      </c>
      <c r="IL21" s="194"/>
      <c r="IM21" s="205">
        <v>12.09</v>
      </c>
      <c r="IN21" s="189"/>
      <c r="IO21" s="208">
        <v>12.73</v>
      </c>
      <c r="IP21" s="194"/>
      <c r="IQ21" s="205">
        <v>12.5</v>
      </c>
      <c r="IR21" s="189"/>
      <c r="IS21" s="205">
        <v>49.2</v>
      </c>
      <c r="IT21" s="189"/>
      <c r="IU21" s="205">
        <v>47.9</v>
      </c>
      <c r="IV21" s="189"/>
      <c r="IW21" s="205">
        <v>12.51</v>
      </c>
      <c r="IX21" s="189"/>
      <c r="IY21" s="205">
        <v>12.16</v>
      </c>
      <c r="IZ21" s="189"/>
      <c r="JA21" s="205">
        <v>36.69</v>
      </c>
      <c r="JB21" s="194"/>
      <c r="JC21" s="205">
        <v>35.74</v>
      </c>
      <c r="JD21" s="194"/>
      <c r="JE21" s="205">
        <v>12.1</v>
      </c>
      <c r="JF21" s="194"/>
      <c r="JG21" s="205">
        <v>11.86</v>
      </c>
      <c r="JH21" s="194"/>
      <c r="JI21" s="205">
        <v>24.59</v>
      </c>
      <c r="JJ21" s="194"/>
      <c r="JK21" s="205">
        <v>23.88</v>
      </c>
      <c r="JL21" s="194"/>
      <c r="JM21" s="205">
        <v>12.09</v>
      </c>
      <c r="JN21" s="194"/>
      <c r="JO21" s="205">
        <v>11.63</v>
      </c>
      <c r="JP21" s="194"/>
      <c r="JQ21" s="205">
        <v>12.5</v>
      </c>
      <c r="JR21" s="194"/>
      <c r="JS21" s="205">
        <v>12.25</v>
      </c>
      <c r="JT21" s="194"/>
      <c r="JU21" s="194">
        <v>47.9</v>
      </c>
      <c r="JV21" s="194"/>
      <c r="JW21" s="194">
        <v>47.9</v>
      </c>
      <c r="JX21" s="194"/>
      <c r="JY21" s="194">
        <v>12.16</v>
      </c>
      <c r="JZ21" s="194"/>
      <c r="KA21" s="194">
        <v>12.18</v>
      </c>
      <c r="KB21" s="194"/>
      <c r="KC21" s="194">
        <v>35.74</v>
      </c>
      <c r="KD21" s="157"/>
      <c r="KE21" s="194">
        <v>35.72</v>
      </c>
      <c r="KF21" s="157"/>
      <c r="KG21" s="194">
        <v>11.86</v>
      </c>
      <c r="KH21" s="157"/>
      <c r="KI21" s="194">
        <v>11.74</v>
      </c>
      <c r="KJ21" s="157"/>
      <c r="KK21" s="194">
        <v>23.88</v>
      </c>
      <c r="KL21" s="157"/>
      <c r="KM21" s="194">
        <v>23.98</v>
      </c>
      <c r="KN21" s="157"/>
      <c r="KO21" s="194">
        <v>11.63</v>
      </c>
      <c r="KP21" s="157"/>
      <c r="KQ21" s="194">
        <v>11.56</v>
      </c>
      <c r="KR21" s="157"/>
      <c r="KS21" s="194">
        <v>12.25</v>
      </c>
      <c r="KT21" s="157"/>
      <c r="KU21" s="194">
        <v>12.42</v>
      </c>
      <c r="KV21" s="157"/>
      <c r="KW21" s="157"/>
      <c r="KX21" s="157"/>
      <c r="KY21" s="157"/>
      <c r="KZ21" s="157"/>
      <c r="LA21" s="157"/>
      <c r="LB21" s="157"/>
      <c r="LC21" s="157"/>
      <c r="LD21" s="157"/>
      <c r="LE21" s="157"/>
      <c r="LF21" s="157"/>
      <c r="LG21" s="157"/>
      <c r="LH21" s="157"/>
      <c r="LI21" s="157"/>
      <c r="LJ21" s="157"/>
      <c r="LK21" s="157"/>
      <c r="LL21" s="157"/>
      <c r="LM21" s="157"/>
      <c r="LN21" s="157"/>
      <c r="LO21" s="157"/>
      <c r="LP21" s="157"/>
      <c r="LQ21" s="157"/>
      <c r="LR21" s="157"/>
      <c r="LS21" s="157"/>
      <c r="LT21" s="157"/>
      <c r="LU21" s="157"/>
      <c r="LV21" s="157"/>
      <c r="LW21" s="157"/>
      <c r="LX21" s="157"/>
      <c r="LY21" s="157"/>
      <c r="LZ21" s="157"/>
      <c r="MA21" s="157"/>
      <c r="MB21" s="157"/>
      <c r="MC21" s="157"/>
      <c r="MD21" s="157"/>
      <c r="ME21" s="157"/>
      <c r="MF21" s="157"/>
      <c r="MG21" s="157"/>
      <c r="MH21" s="157"/>
      <c r="MI21" s="157"/>
      <c r="MJ21" s="157"/>
      <c r="MK21" s="157"/>
      <c r="ML21" s="157"/>
      <c r="MM21" s="157"/>
      <c r="MN21" s="157"/>
      <c r="MO21" s="157"/>
      <c r="MP21" s="157"/>
      <c r="MQ21" s="157"/>
      <c r="MR21" s="157"/>
      <c r="MS21" s="157"/>
      <c r="MT21" s="157"/>
      <c r="MU21" s="157"/>
      <c r="MV21" s="157"/>
      <c r="MW21" s="157"/>
      <c r="MX21" s="157"/>
      <c r="MY21" s="157"/>
      <c r="MZ21" s="157"/>
      <c r="NA21" s="157"/>
      <c r="NB21" s="157"/>
      <c r="NC21" s="157"/>
      <c r="ND21" s="157"/>
      <c r="NE21" s="157"/>
      <c r="NF21" s="157"/>
      <c r="NG21" s="157"/>
      <c r="NH21" s="157"/>
      <c r="NI21" s="157"/>
      <c r="NJ21" s="157"/>
      <c r="NK21" s="157"/>
      <c r="NL21" s="157"/>
      <c r="NM21" s="157"/>
      <c r="NN21" s="157"/>
      <c r="NO21" s="157"/>
      <c r="NP21" s="157"/>
      <c r="NQ21" s="157"/>
      <c r="NR21" s="157"/>
      <c r="NS21" s="157"/>
      <c r="NT21" s="157"/>
      <c r="NU21" s="157"/>
    </row>
    <row r="22" spans="1:385">
      <c r="A22" s="16" t="s">
        <v>41</v>
      </c>
      <c r="B22" s="17" t="s">
        <v>3</v>
      </c>
      <c r="C22" s="142"/>
      <c r="D22" s="351">
        <v>19.670000000000002</v>
      </c>
      <c r="F22" s="139">
        <f t="shared" si="49"/>
        <v>22.46</v>
      </c>
      <c r="G22" s="142"/>
      <c r="H22" s="351">
        <f t="shared" si="50"/>
        <v>6.1400000000000023</v>
      </c>
      <c r="J22" s="139">
        <f t="shared" si="51"/>
        <v>7.05</v>
      </c>
      <c r="K22" s="142"/>
      <c r="L22" s="351">
        <v>13.53</v>
      </c>
      <c r="N22" s="139">
        <f>15.39+0.01</f>
        <v>15.4</v>
      </c>
      <c r="O22" s="142"/>
      <c r="P22" s="351">
        <f t="shared" ref="P22" si="59">L22-T22</f>
        <v>6.129999999999999</v>
      </c>
      <c r="R22" s="351">
        <f t="shared" si="52"/>
        <v>7.0400000000000009</v>
      </c>
      <c r="T22" s="351">
        <v>7.4</v>
      </c>
      <c r="V22" s="139">
        <f>AV22</f>
        <v>8.36</v>
      </c>
      <c r="X22" s="351">
        <v>30.75</v>
      </c>
      <c r="Z22" s="139">
        <f t="shared" si="23"/>
        <v>31.14</v>
      </c>
      <c r="AA22" s="142"/>
      <c r="AB22" s="351">
        <v>7.05</v>
      </c>
      <c r="AD22" s="139">
        <f t="shared" si="24"/>
        <v>8.0600000000000023</v>
      </c>
      <c r="AE22" s="142"/>
      <c r="AF22" s="351">
        <v>22.46</v>
      </c>
      <c r="AH22" s="139">
        <f t="shared" si="25"/>
        <v>23.08</v>
      </c>
      <c r="AI22" s="142"/>
      <c r="AJ22" s="351">
        <v>7.05</v>
      </c>
      <c r="AL22" s="139">
        <f t="shared" si="26"/>
        <v>7.1199999999999974</v>
      </c>
      <c r="AM22" s="142"/>
      <c r="AN22" s="351">
        <v>15.4</v>
      </c>
      <c r="AP22" s="139">
        <f t="shared" si="27"/>
        <v>15.96</v>
      </c>
      <c r="AQ22" s="142"/>
      <c r="AR22" s="351">
        <v>7.04</v>
      </c>
      <c r="AT22" s="139">
        <f t="shared" si="28"/>
        <v>7.5300000000000011</v>
      </c>
      <c r="AU22" s="142"/>
      <c r="AV22" s="351">
        <v>8.36</v>
      </c>
      <c r="AX22" s="139">
        <f t="shared" si="29"/>
        <v>8.43</v>
      </c>
      <c r="AY22" s="142"/>
      <c r="AZ22" s="351">
        <v>31.14</v>
      </c>
      <c r="BB22" s="139">
        <f t="shared" si="30"/>
        <v>34.409999999999997</v>
      </c>
      <c r="BC22" s="142"/>
      <c r="BD22" s="351">
        <f t="shared" ref="BD22" si="60">AZ22-BH22</f>
        <v>8.0600000000000023</v>
      </c>
      <c r="BF22" s="139">
        <f t="shared" si="31"/>
        <v>9.889999999999997</v>
      </c>
      <c r="BG22" s="142"/>
      <c r="BH22" s="351">
        <v>23.08</v>
      </c>
      <c r="BJ22" s="139">
        <v>24.52</v>
      </c>
      <c r="BK22" s="142"/>
      <c r="BL22" s="351">
        <f t="shared" si="56"/>
        <v>7.1199999999999974</v>
      </c>
      <c r="BN22" s="139">
        <f t="shared" si="32"/>
        <v>7.8900000000000006</v>
      </c>
      <c r="BO22" s="142"/>
      <c r="BP22" s="351">
        <v>15.96</v>
      </c>
      <c r="BR22" s="139">
        <v>16.63</v>
      </c>
      <c r="BS22" s="142"/>
      <c r="BT22" s="351">
        <f t="shared" si="54"/>
        <v>7.5300000000000011</v>
      </c>
      <c r="BV22" s="139">
        <f t="shared" si="55"/>
        <v>7.8599999999999994</v>
      </c>
      <c r="BW22" s="142"/>
      <c r="BX22" s="351">
        <v>8.43</v>
      </c>
      <c r="BZ22" s="139">
        <f t="shared" si="33"/>
        <v>8.77</v>
      </c>
      <c r="CA22" s="142"/>
      <c r="CB22" s="351">
        <v>34.409999999999997</v>
      </c>
      <c r="CD22" s="139">
        <f t="shared" si="34"/>
        <v>32.43</v>
      </c>
      <c r="CE22" s="142"/>
      <c r="CF22" s="351">
        <f t="shared" si="35"/>
        <v>9.889999999999997</v>
      </c>
      <c r="CH22" s="139">
        <f t="shared" si="36"/>
        <v>8.7199999999999989</v>
      </c>
      <c r="CI22" s="142"/>
      <c r="CJ22" s="351">
        <v>24.52</v>
      </c>
      <c r="CL22" s="139">
        <v>23.71</v>
      </c>
      <c r="CM22" s="142"/>
      <c r="CN22" s="351">
        <f t="shared" si="37"/>
        <v>7.8900000000000006</v>
      </c>
      <c r="CP22" s="139">
        <f t="shared" si="38"/>
        <v>7.7200000000000006</v>
      </c>
      <c r="CQ22" s="142"/>
      <c r="CR22" s="351">
        <v>16.63</v>
      </c>
      <c r="CT22" s="139">
        <v>15.99</v>
      </c>
      <c r="CU22" s="142"/>
      <c r="CV22" s="351">
        <f t="shared" si="39"/>
        <v>7.8599999999999994</v>
      </c>
      <c r="CX22" s="139">
        <f t="shared" si="40"/>
        <v>7.1300000000000008</v>
      </c>
      <c r="CY22" s="142"/>
      <c r="CZ22" s="351">
        <v>8.77</v>
      </c>
      <c r="DB22" s="139">
        <f t="shared" si="41"/>
        <v>8.86</v>
      </c>
      <c r="DC22" s="142"/>
      <c r="DD22" s="351">
        <v>32.43</v>
      </c>
      <c r="DF22" s="139">
        <f t="shared" si="42"/>
        <v>33.729999999999997</v>
      </c>
      <c r="DG22" s="142"/>
      <c r="DH22" s="351">
        <f t="shared" si="57"/>
        <v>8.7199999999999989</v>
      </c>
      <c r="DJ22" s="351">
        <f t="shared" si="44"/>
        <v>8.7099999999999973</v>
      </c>
      <c r="DK22" s="17"/>
      <c r="DL22" s="351">
        <v>23.71</v>
      </c>
      <c r="DN22" s="139">
        <f t="shared" si="45"/>
        <v>25.02</v>
      </c>
      <c r="DO22" s="142"/>
      <c r="DP22" s="351">
        <f t="shared" si="58"/>
        <v>7.7200000000000006</v>
      </c>
      <c r="DR22" s="351">
        <f t="shared" si="47"/>
        <v>7.9899999999999984</v>
      </c>
      <c r="DS22" s="17"/>
      <c r="DT22" s="351">
        <v>15.99</v>
      </c>
      <c r="DV22" s="139">
        <v>17.03</v>
      </c>
      <c r="DW22" s="142"/>
      <c r="DX22" s="351">
        <f t="shared" si="48"/>
        <v>7.1300000000000008</v>
      </c>
      <c r="DZ22" s="351">
        <f t="shared" si="48"/>
        <v>8.1000000000000014</v>
      </c>
      <c r="EA22" s="142"/>
      <c r="EB22" s="351">
        <v>8.86</v>
      </c>
      <c r="ED22" s="139">
        <v>8.93</v>
      </c>
      <c r="EE22" s="142"/>
      <c r="EF22" s="356">
        <v>33.729999999999997</v>
      </c>
      <c r="EH22" s="139">
        <v>34.520000000000003</v>
      </c>
      <c r="EI22" s="357"/>
      <c r="EJ22" s="356">
        <v>8.7100000000000009</v>
      </c>
      <c r="EL22" s="139">
        <v>9.15</v>
      </c>
      <c r="EM22" s="142"/>
      <c r="EN22" s="139">
        <v>25.02</v>
      </c>
      <c r="EP22" s="139">
        <v>25.37</v>
      </c>
      <c r="EQ22" s="357"/>
      <c r="ER22" s="139">
        <v>8</v>
      </c>
      <c r="ET22" s="139">
        <v>8.17</v>
      </c>
      <c r="EU22" s="142"/>
      <c r="EV22" s="357"/>
      <c r="EW22" s="139">
        <v>17.03</v>
      </c>
      <c r="EY22" s="139">
        <v>17.2</v>
      </c>
      <c r="EZ22" s="357"/>
      <c r="FA22" s="139">
        <v>8.1</v>
      </c>
      <c r="FC22" s="139">
        <v>7.93</v>
      </c>
      <c r="FD22" s="357"/>
      <c r="FE22" s="139">
        <v>8.93</v>
      </c>
      <c r="FG22" s="139">
        <v>9.2799999999999994</v>
      </c>
      <c r="FH22" s="142"/>
      <c r="FI22" s="139">
        <v>34.520000000000003</v>
      </c>
      <c r="FK22" s="139">
        <v>34.94</v>
      </c>
      <c r="FL22" s="357"/>
      <c r="FM22" s="139">
        <v>9.1500000000000021</v>
      </c>
      <c r="FO22" s="139">
        <v>9.379999999999999</v>
      </c>
      <c r="FP22" s="357"/>
      <c r="FQ22" s="139">
        <v>25.37</v>
      </c>
      <c r="FS22" s="139">
        <v>25.56</v>
      </c>
      <c r="FT22" s="357"/>
      <c r="FU22" s="139">
        <v>8.17</v>
      </c>
      <c r="FW22" s="139">
        <v>8.35</v>
      </c>
      <c r="FX22" s="13"/>
      <c r="FY22" s="197">
        <v>17.2</v>
      </c>
      <c r="GA22" s="197">
        <v>17.21</v>
      </c>
      <c r="GB22" s="189"/>
      <c r="GC22" s="197">
        <v>7.93</v>
      </c>
      <c r="GE22" s="197">
        <v>8.08</v>
      </c>
      <c r="GF22" s="189"/>
      <c r="GG22" s="195">
        <v>9.2799999999999994</v>
      </c>
      <c r="GI22" s="197">
        <v>9.1199999999999992</v>
      </c>
      <c r="GJ22" s="142"/>
      <c r="GK22" s="195">
        <v>34.94</v>
      </c>
      <c r="GL22" s="157"/>
      <c r="GM22" s="197">
        <v>32.04</v>
      </c>
      <c r="GN22" s="189"/>
      <c r="GO22" s="195">
        <v>9.39</v>
      </c>
      <c r="GP22" s="157"/>
      <c r="GQ22" s="197">
        <v>8.8499999999999979</v>
      </c>
      <c r="GR22" s="189"/>
      <c r="GS22" s="195">
        <f>GW22-HA22</f>
        <v>8.3499999999999979</v>
      </c>
      <c r="GT22" s="157"/>
      <c r="GU22" s="197">
        <f>GY22-HC22</f>
        <v>7.6100000000000012</v>
      </c>
      <c r="GV22" s="189"/>
      <c r="GW22" s="195">
        <v>25.56</v>
      </c>
      <c r="GX22" s="157"/>
      <c r="GY22" s="197">
        <v>23.19</v>
      </c>
      <c r="GZ22" s="189"/>
      <c r="HA22" s="195">
        <v>17.21</v>
      </c>
      <c r="HB22" s="157"/>
      <c r="HC22" s="197">
        <f>IF22</f>
        <v>15.58</v>
      </c>
      <c r="HD22" s="189"/>
      <c r="HE22" s="195">
        <v>8.08</v>
      </c>
      <c r="HF22" s="157"/>
      <c r="HG22" s="197">
        <v>7.2100000000000009</v>
      </c>
      <c r="HH22" s="189"/>
      <c r="HI22" s="195">
        <v>9.1199999999999992</v>
      </c>
      <c r="HJ22" s="157"/>
      <c r="HK22" s="197">
        <v>8.3699999999999992</v>
      </c>
      <c r="HL22" s="189"/>
      <c r="HM22" s="195">
        <v>32.04</v>
      </c>
      <c r="HN22" s="157"/>
      <c r="HO22" s="197">
        <v>35.94</v>
      </c>
      <c r="HP22" s="189"/>
      <c r="HQ22" s="189"/>
      <c r="HR22" s="195">
        <v>8.8499999999999979</v>
      </c>
      <c r="HS22" s="157"/>
      <c r="HT22" s="197">
        <v>9.4799999999999969</v>
      </c>
      <c r="HU22" s="199"/>
      <c r="HV22" s="195">
        <v>23.19</v>
      </c>
      <c r="HW22" s="157"/>
      <c r="HX22" s="197">
        <v>26.46</v>
      </c>
      <c r="HY22" s="189"/>
      <c r="HZ22" s="189"/>
      <c r="IA22" s="195">
        <v>7.6100000000000012</v>
      </c>
      <c r="IB22" s="157"/>
      <c r="IC22" s="197">
        <v>8.44</v>
      </c>
      <c r="ID22" s="189"/>
      <c r="IE22" s="189"/>
      <c r="IF22" s="195">
        <v>15.58</v>
      </c>
      <c r="IG22" s="157"/>
      <c r="IH22" s="197">
        <v>18.03</v>
      </c>
      <c r="II22" s="189"/>
      <c r="IJ22" s="189"/>
      <c r="IK22" s="195">
        <v>7.2100000000000009</v>
      </c>
      <c r="IL22" s="157"/>
      <c r="IM22" s="197">
        <v>8.5820000000000007</v>
      </c>
      <c r="IN22" s="189"/>
      <c r="IO22" s="195">
        <v>8.3699999999999992</v>
      </c>
      <c r="IP22" s="157"/>
      <c r="IQ22" s="197">
        <v>9.0500000000000007</v>
      </c>
      <c r="IR22" s="189"/>
      <c r="IS22" s="197">
        <v>35.94</v>
      </c>
      <c r="IT22" s="189"/>
      <c r="IU22" s="197">
        <v>36.43</v>
      </c>
      <c r="IV22" s="189"/>
      <c r="IW22" s="197">
        <v>9.4700000000000006</v>
      </c>
      <c r="IX22" s="189"/>
      <c r="IY22" s="197">
        <v>9.66</v>
      </c>
      <c r="IZ22" s="189"/>
      <c r="JA22" s="197">
        <v>26.46</v>
      </c>
      <c r="JB22" s="157"/>
      <c r="JC22" s="197">
        <v>26.78</v>
      </c>
      <c r="JD22" s="157"/>
      <c r="JE22" s="197">
        <v>8.44</v>
      </c>
      <c r="JF22" s="157"/>
      <c r="JG22" s="197">
        <v>8.58</v>
      </c>
      <c r="JH22" s="157"/>
      <c r="JI22" s="197">
        <v>18.03</v>
      </c>
      <c r="JJ22" s="157"/>
      <c r="JK22" s="197">
        <v>18.2</v>
      </c>
      <c r="JL22" s="157"/>
      <c r="JM22" s="197">
        <v>8.58</v>
      </c>
      <c r="JN22" s="157"/>
      <c r="JO22" s="197">
        <v>8.5399999999999991</v>
      </c>
      <c r="JP22" s="157"/>
      <c r="JQ22" s="197">
        <v>9.0500000000000007</v>
      </c>
      <c r="JR22" s="157"/>
      <c r="JS22" s="197">
        <v>10.17</v>
      </c>
      <c r="JT22" s="157"/>
      <c r="JU22" s="197">
        <v>38.590000000000003</v>
      </c>
      <c r="JV22" s="157"/>
      <c r="JW22" s="197">
        <v>41.3</v>
      </c>
      <c r="JX22" s="157"/>
      <c r="JY22" s="197">
        <v>10.210000000000001</v>
      </c>
      <c r="JZ22" s="157"/>
      <c r="KA22" s="197">
        <v>10.59</v>
      </c>
      <c r="KB22" s="194"/>
      <c r="KC22" s="197">
        <v>28.39</v>
      </c>
      <c r="KD22" s="157"/>
      <c r="KE22" s="197">
        <v>30.71</v>
      </c>
      <c r="KF22" s="157"/>
      <c r="KG22" s="197">
        <v>9.1300000000000008</v>
      </c>
      <c r="KH22" s="157"/>
      <c r="KI22" s="197">
        <v>9.85</v>
      </c>
      <c r="KJ22" s="157"/>
      <c r="KK22" s="197">
        <v>19.25</v>
      </c>
      <c r="KL22" s="157"/>
      <c r="KM22" s="197">
        <v>20.86</v>
      </c>
      <c r="KN22" s="157"/>
      <c r="KO22" s="197">
        <v>9.08</v>
      </c>
      <c r="KP22" s="157"/>
      <c r="KQ22" s="197">
        <v>9.92</v>
      </c>
      <c r="KR22" s="157"/>
      <c r="KS22" s="197">
        <v>10.17</v>
      </c>
      <c r="KT22" s="157"/>
      <c r="KU22" s="197">
        <v>10.94</v>
      </c>
      <c r="KV22" s="157"/>
      <c r="KW22" s="157"/>
      <c r="KX22" s="157"/>
      <c r="KY22" s="157"/>
      <c r="KZ22" s="157"/>
      <c r="LA22" s="157"/>
      <c r="LB22" s="157"/>
      <c r="LC22" s="157"/>
      <c r="LD22" s="157"/>
      <c r="LE22" s="157"/>
      <c r="LF22" s="157"/>
      <c r="LG22" s="157"/>
      <c r="LH22" s="157"/>
      <c r="LI22" s="157"/>
      <c r="LJ22" s="157"/>
      <c r="LK22" s="157"/>
      <c r="LL22" s="157"/>
      <c r="LM22" s="157"/>
      <c r="LN22" s="157"/>
      <c r="LO22" s="157"/>
      <c r="LP22" s="157"/>
      <c r="LQ22" s="157"/>
      <c r="LR22" s="157"/>
      <c r="LS22" s="157"/>
      <c r="LT22" s="157"/>
      <c r="LU22" s="157"/>
      <c r="LV22" s="157"/>
      <c r="LW22" s="157"/>
      <c r="LX22" s="157"/>
      <c r="LY22" s="157"/>
      <c r="LZ22" s="157"/>
      <c r="MA22" s="157"/>
      <c r="MB22" s="157"/>
      <c r="MC22" s="157"/>
      <c r="MD22" s="157"/>
      <c r="ME22" s="157"/>
      <c r="MF22" s="157"/>
      <c r="MG22" s="157"/>
      <c r="MH22" s="157"/>
      <c r="MI22" s="157"/>
      <c r="MJ22" s="157"/>
      <c r="MK22" s="157"/>
      <c r="ML22" s="157"/>
      <c r="MM22" s="157"/>
      <c r="MN22" s="157"/>
      <c r="MO22" s="157"/>
      <c r="MP22" s="157"/>
      <c r="MQ22" s="157"/>
      <c r="MR22" s="157"/>
      <c r="MS22" s="157"/>
      <c r="MT22" s="157"/>
      <c r="MU22" s="157"/>
      <c r="MV22" s="157"/>
      <c r="MW22" s="157"/>
      <c r="MX22" s="157"/>
      <c r="MY22" s="157"/>
      <c r="MZ22" s="157"/>
      <c r="NA22" s="157"/>
      <c r="NB22" s="157"/>
      <c r="NC22" s="157"/>
      <c r="ND22" s="157"/>
      <c r="NE22" s="157"/>
      <c r="NF22" s="157"/>
      <c r="NG22" s="157"/>
      <c r="NH22" s="157"/>
      <c r="NI22" s="157"/>
      <c r="NJ22" s="157"/>
      <c r="NK22" s="157"/>
      <c r="NL22" s="157"/>
      <c r="NM22" s="157"/>
      <c r="NN22" s="157"/>
      <c r="NO22" s="157"/>
      <c r="NP22" s="157"/>
      <c r="NQ22" s="157"/>
      <c r="NR22" s="157"/>
      <c r="NS22" s="157"/>
      <c r="NT22" s="157"/>
      <c r="NU22" s="157"/>
    </row>
    <row r="23" spans="1:385">
      <c r="GK23" s="157"/>
      <c r="GL23" s="157"/>
      <c r="GM23" s="157"/>
      <c r="GN23" s="157"/>
      <c r="GO23" s="157"/>
      <c r="GP23" s="157"/>
      <c r="GQ23" s="157"/>
      <c r="GR23" s="157"/>
      <c r="GS23" s="157"/>
      <c r="GT23" s="157"/>
      <c r="GU23" s="157"/>
      <c r="GV23" s="157"/>
      <c r="GW23" s="157"/>
      <c r="GX23" s="157"/>
      <c r="GY23" s="157"/>
      <c r="GZ23" s="157"/>
      <c r="HA23" s="157"/>
      <c r="HB23" s="157"/>
      <c r="HC23" s="157"/>
      <c r="HD23" s="157"/>
      <c r="HE23" s="157"/>
      <c r="HF23" s="157"/>
      <c r="HG23" s="157"/>
      <c r="HH23" s="157"/>
      <c r="HI23" s="157"/>
      <c r="HJ23" s="157"/>
      <c r="HK23" s="157"/>
      <c r="HL23" s="157"/>
      <c r="HM23" s="157"/>
      <c r="HN23" s="157"/>
      <c r="HO23" s="157"/>
      <c r="HP23" s="157"/>
      <c r="HQ23" s="157"/>
      <c r="HR23" s="157"/>
      <c r="HS23" s="157"/>
      <c r="HT23" s="157"/>
      <c r="HU23" s="157"/>
      <c r="HV23" s="157"/>
      <c r="HW23" s="157"/>
      <c r="HX23" s="157"/>
      <c r="HY23" s="157"/>
      <c r="HZ23" s="157"/>
      <c r="IA23" s="157"/>
      <c r="IB23" s="157"/>
      <c r="IC23" s="157"/>
      <c r="ID23" s="157"/>
      <c r="IE23" s="157"/>
      <c r="IF23" s="157"/>
      <c r="IG23" s="157"/>
      <c r="IH23" s="157"/>
      <c r="II23" s="157"/>
      <c r="IJ23" s="157"/>
      <c r="IK23" s="157"/>
      <c r="IL23" s="157"/>
      <c r="IM23" s="157"/>
      <c r="IN23" s="157"/>
      <c r="IO23" s="157"/>
      <c r="IP23" s="157"/>
      <c r="IQ23" s="157"/>
      <c r="IR23" s="157"/>
      <c r="IS23" s="157"/>
      <c r="IT23" s="157"/>
      <c r="IU23" s="157"/>
      <c r="IV23" s="157"/>
      <c r="IW23" s="157"/>
      <c r="IX23" s="157"/>
      <c r="IY23" s="157"/>
      <c r="IZ23" s="157"/>
      <c r="JA23" s="157"/>
      <c r="JB23" s="157"/>
      <c r="JC23" s="157"/>
      <c r="JD23" s="157"/>
      <c r="JE23" s="157"/>
      <c r="JF23" s="157"/>
      <c r="JG23" s="157"/>
      <c r="JH23" s="157"/>
      <c r="JI23" s="157"/>
      <c r="JJ23" s="157"/>
      <c r="JK23" s="157"/>
      <c r="JL23" s="157"/>
      <c r="JM23" s="157"/>
      <c r="JN23" s="157"/>
      <c r="JO23" s="157"/>
      <c r="JP23" s="157"/>
      <c r="JQ23" s="157"/>
      <c r="JR23" s="157"/>
      <c r="JS23" s="157"/>
      <c r="JT23" s="157"/>
      <c r="JU23" s="157"/>
      <c r="JV23" s="157"/>
      <c r="JW23" s="157"/>
      <c r="JX23" s="157"/>
      <c r="JY23" s="157"/>
      <c r="JZ23" s="157"/>
      <c r="KA23" s="157"/>
      <c r="KB23" s="157"/>
      <c r="KC23" s="157"/>
      <c r="KD23" s="157"/>
      <c r="KE23" s="157"/>
      <c r="KF23" s="157"/>
      <c r="KG23" s="157"/>
      <c r="KH23" s="157"/>
      <c r="KI23" s="157"/>
      <c r="KJ23" s="157"/>
      <c r="KK23" s="157"/>
      <c r="KL23" s="157"/>
      <c r="KM23" s="157"/>
      <c r="KN23" s="157"/>
      <c r="KO23" s="157"/>
      <c r="KP23" s="157"/>
      <c r="KQ23" s="157"/>
      <c r="KR23" s="157"/>
      <c r="KS23" s="157"/>
      <c r="KT23" s="157"/>
      <c r="KU23" s="157"/>
      <c r="KV23" s="157"/>
      <c r="KW23" s="157"/>
      <c r="KX23" s="157"/>
      <c r="KY23" s="157"/>
      <c r="KZ23" s="157"/>
      <c r="LA23" s="157"/>
      <c r="LB23" s="157"/>
      <c r="LC23" s="157"/>
      <c r="LD23" s="157"/>
      <c r="LE23" s="157"/>
      <c r="LF23" s="157"/>
      <c r="LG23" s="157"/>
      <c r="LH23" s="157"/>
      <c r="LI23" s="157"/>
      <c r="LJ23" s="157"/>
      <c r="LK23" s="157"/>
      <c r="LL23" s="157"/>
      <c r="LM23" s="157"/>
      <c r="LN23" s="157"/>
      <c r="LO23" s="157"/>
      <c r="LP23" s="157"/>
      <c r="LQ23" s="157"/>
      <c r="LR23" s="157"/>
      <c r="LS23" s="157"/>
      <c r="LT23" s="157"/>
      <c r="LU23" s="157"/>
      <c r="LV23" s="157"/>
      <c r="LW23" s="157"/>
      <c r="LX23" s="157"/>
      <c r="LY23" s="157"/>
      <c r="LZ23" s="157"/>
      <c r="MA23" s="157"/>
      <c r="MB23" s="157"/>
      <c r="MC23" s="157"/>
      <c r="MD23" s="157"/>
      <c r="ME23" s="157"/>
      <c r="MF23" s="157"/>
      <c r="MG23" s="157"/>
      <c r="MH23" s="157"/>
      <c r="MI23" s="157"/>
      <c r="MJ23" s="157"/>
      <c r="MK23" s="157"/>
      <c r="ML23" s="157"/>
      <c r="MM23" s="157"/>
      <c r="MN23" s="157"/>
      <c r="MO23" s="157"/>
      <c r="MP23" s="157"/>
      <c r="MQ23" s="157"/>
      <c r="MR23" s="157"/>
      <c r="MS23" s="157"/>
      <c r="MT23" s="157"/>
      <c r="MU23" s="157"/>
      <c r="MV23" s="157"/>
      <c r="MW23" s="157"/>
      <c r="MX23" s="157"/>
      <c r="MY23" s="157"/>
      <c r="MZ23" s="157"/>
      <c r="NA23" s="157"/>
      <c r="NB23" s="157"/>
      <c r="NC23" s="157"/>
      <c r="ND23" s="157"/>
      <c r="NE23" s="157"/>
      <c r="NF23" s="157"/>
      <c r="NG23" s="157"/>
      <c r="NH23" s="157"/>
      <c r="NI23" s="157"/>
      <c r="NJ23" s="157"/>
      <c r="NK23" s="157"/>
      <c r="NL23" s="157"/>
      <c r="NM23" s="157"/>
      <c r="NN23" s="157"/>
      <c r="NO23" s="157"/>
      <c r="NP23" s="157"/>
      <c r="NQ23" s="157"/>
      <c r="NR23" s="157"/>
      <c r="NS23" s="157"/>
      <c r="NT23" s="157"/>
      <c r="NU23" s="157"/>
    </row>
    <row r="24" spans="1:385">
      <c r="GK24" s="157"/>
      <c r="GL24" s="157"/>
      <c r="GM24" s="157"/>
      <c r="GN24" s="157"/>
      <c r="GO24" s="157"/>
      <c r="GP24" s="157"/>
      <c r="GQ24" s="157"/>
      <c r="GR24" s="157"/>
      <c r="GS24" s="157"/>
      <c r="GT24" s="157"/>
      <c r="GU24" s="157"/>
      <c r="GV24" s="157"/>
      <c r="GW24" s="157"/>
      <c r="GX24" s="157"/>
      <c r="GY24" s="157"/>
      <c r="GZ24" s="157"/>
      <c r="HA24" s="157"/>
      <c r="HB24" s="157"/>
      <c r="HC24" s="157"/>
      <c r="HD24" s="157"/>
      <c r="HE24" s="157"/>
      <c r="HF24" s="157"/>
      <c r="HG24" s="157"/>
      <c r="HH24" s="157"/>
      <c r="HI24" s="157"/>
      <c r="HJ24" s="157"/>
      <c r="HK24" s="157"/>
      <c r="HL24" s="157"/>
      <c r="HM24" s="157"/>
      <c r="HN24" s="157"/>
      <c r="HO24" s="157"/>
      <c r="HP24" s="157"/>
      <c r="HQ24" s="157"/>
      <c r="HR24" s="157"/>
      <c r="HS24" s="157"/>
      <c r="HT24" s="157"/>
      <c r="HU24" s="157"/>
      <c r="HV24" s="157"/>
      <c r="HW24" s="157"/>
      <c r="HX24" s="157"/>
      <c r="HY24" s="157"/>
      <c r="HZ24" s="157"/>
      <c r="IA24" s="157"/>
      <c r="IB24" s="157"/>
      <c r="IC24" s="157"/>
      <c r="ID24" s="157"/>
      <c r="IE24" s="157"/>
      <c r="IF24" s="157"/>
      <c r="IG24" s="157"/>
      <c r="IH24" s="157"/>
      <c r="II24" s="157"/>
      <c r="IJ24" s="157"/>
      <c r="IK24" s="157"/>
      <c r="IL24" s="157"/>
      <c r="IM24" s="157"/>
      <c r="IN24" s="157"/>
      <c r="IO24" s="157"/>
      <c r="IP24" s="157"/>
      <c r="IQ24" s="157"/>
      <c r="IR24" s="157"/>
      <c r="IS24" s="157"/>
      <c r="IT24" s="157"/>
      <c r="IU24" s="157"/>
      <c r="IV24" s="157"/>
      <c r="IW24" s="157"/>
      <c r="IX24" s="157"/>
      <c r="IY24" s="157"/>
      <c r="IZ24" s="157"/>
      <c r="JA24" s="157"/>
      <c r="JB24" s="157"/>
      <c r="JC24" s="157"/>
      <c r="JD24" s="157"/>
      <c r="JE24" s="157"/>
      <c r="JF24" s="157"/>
      <c r="JG24" s="157"/>
      <c r="JH24" s="157"/>
      <c r="JI24" s="157"/>
      <c r="JJ24" s="157"/>
      <c r="JK24" s="157"/>
      <c r="JL24" s="157"/>
      <c r="JM24" s="157"/>
      <c r="JN24" s="157"/>
      <c r="JO24" s="157"/>
      <c r="JP24" s="157"/>
      <c r="JQ24" s="157"/>
      <c r="JR24" s="157"/>
      <c r="JS24" s="157"/>
      <c r="JT24" s="157"/>
      <c r="JU24" s="157"/>
      <c r="JV24" s="157"/>
      <c r="JW24" s="157"/>
      <c r="JX24" s="157"/>
      <c r="JY24" s="157"/>
      <c r="JZ24" s="157"/>
      <c r="KA24" s="157"/>
      <c r="KB24" s="157"/>
      <c r="KC24" s="157"/>
      <c r="KD24" s="157"/>
      <c r="KE24" s="157"/>
      <c r="KF24" s="157"/>
      <c r="KG24" s="157"/>
      <c r="KH24" s="157"/>
      <c r="KI24" s="157"/>
      <c r="KJ24" s="157"/>
      <c r="KK24" s="157"/>
      <c r="KL24" s="157"/>
      <c r="KM24" s="157"/>
      <c r="KN24" s="157"/>
      <c r="KO24" s="157"/>
      <c r="KP24" s="157"/>
      <c r="KQ24" s="157"/>
      <c r="KR24" s="157"/>
      <c r="KS24" s="157"/>
      <c r="KT24" s="157"/>
      <c r="KU24" s="157"/>
      <c r="KV24" s="157"/>
      <c r="KW24" s="157"/>
      <c r="KX24" s="157"/>
      <c r="KY24" s="157"/>
      <c r="KZ24" s="157"/>
      <c r="LA24" s="157"/>
      <c r="LB24" s="157"/>
      <c r="LC24" s="157"/>
      <c r="LD24" s="157"/>
      <c r="LE24" s="157"/>
      <c r="LF24" s="157"/>
      <c r="LG24" s="157"/>
      <c r="LH24" s="157"/>
      <c r="LI24" s="157"/>
      <c r="LJ24" s="157"/>
      <c r="LK24" s="157"/>
      <c r="LL24" s="157"/>
      <c r="LM24" s="157"/>
      <c r="LN24" s="157"/>
      <c r="LO24" s="157"/>
      <c r="LP24" s="157"/>
      <c r="LQ24" s="157"/>
      <c r="LR24" s="157"/>
      <c r="LS24" s="157"/>
      <c r="LT24" s="157"/>
      <c r="LU24" s="157"/>
      <c r="LV24" s="157"/>
      <c r="LW24" s="157"/>
      <c r="LX24" s="157"/>
      <c r="LY24" s="157"/>
      <c r="LZ24" s="157"/>
      <c r="MA24" s="157"/>
      <c r="MB24" s="157"/>
      <c r="MC24" s="157"/>
      <c r="MD24" s="157"/>
      <c r="ME24" s="157"/>
      <c r="MF24" s="157"/>
      <c r="MG24" s="157"/>
      <c r="MH24" s="157"/>
      <c r="MI24" s="157"/>
      <c r="MJ24" s="157"/>
      <c r="MK24" s="157"/>
      <c r="ML24" s="157"/>
      <c r="MM24" s="157"/>
      <c r="MN24" s="157"/>
      <c r="MO24" s="157"/>
      <c r="MP24" s="157"/>
      <c r="MQ24" s="157"/>
      <c r="MR24" s="157"/>
      <c r="MS24" s="157"/>
      <c r="MT24" s="157"/>
      <c r="MU24" s="157"/>
      <c r="MV24" s="157"/>
      <c r="MW24" s="157"/>
      <c r="MX24" s="157"/>
      <c r="MY24" s="157"/>
      <c r="MZ24" s="157"/>
      <c r="NA24" s="157"/>
      <c r="NB24" s="157"/>
      <c r="NC24" s="157"/>
      <c r="ND24" s="157"/>
      <c r="NE24" s="157"/>
      <c r="NF24" s="157"/>
      <c r="NG24" s="157"/>
      <c r="NH24" s="157"/>
      <c r="NI24" s="157"/>
      <c r="NJ24" s="157"/>
      <c r="NK24" s="157"/>
      <c r="NL24" s="157"/>
      <c r="NM24" s="157"/>
      <c r="NN24" s="157"/>
      <c r="NO24" s="157"/>
      <c r="NP24" s="157"/>
      <c r="NQ24" s="157"/>
      <c r="NR24" s="157"/>
      <c r="NS24" s="157"/>
      <c r="NT24" s="157"/>
      <c r="NU24" s="157"/>
    </row>
    <row r="25" spans="1:385">
      <c r="I25" s="339"/>
      <c r="GK25" s="157"/>
      <c r="GL25" s="157"/>
      <c r="GM25" s="157"/>
      <c r="GN25" s="157"/>
      <c r="GO25" s="157"/>
      <c r="GP25" s="157"/>
      <c r="GQ25" s="157"/>
      <c r="GR25" s="157"/>
      <c r="GS25" s="157"/>
      <c r="GT25" s="157"/>
      <c r="GU25" s="157"/>
      <c r="GV25" s="157"/>
      <c r="GW25" s="157"/>
      <c r="GX25" s="157"/>
      <c r="GY25" s="157"/>
      <c r="GZ25" s="157"/>
      <c r="HA25" s="157"/>
      <c r="HB25" s="157"/>
      <c r="HC25" s="157"/>
      <c r="HD25" s="157"/>
      <c r="HE25" s="157"/>
      <c r="HF25" s="157"/>
      <c r="HG25" s="157"/>
      <c r="HH25" s="157"/>
      <c r="HI25" s="157"/>
      <c r="HJ25" s="157"/>
      <c r="HK25" s="157"/>
      <c r="HL25" s="157"/>
      <c r="HM25" s="157"/>
      <c r="HN25" s="157"/>
      <c r="HO25" s="157"/>
      <c r="HP25" s="157"/>
      <c r="HQ25" s="157"/>
      <c r="HR25" s="157"/>
      <c r="HS25" s="157"/>
      <c r="HT25" s="157"/>
      <c r="HU25" s="157"/>
      <c r="HV25" s="157"/>
      <c r="HW25" s="157"/>
      <c r="HX25" s="157"/>
      <c r="HY25" s="157"/>
      <c r="HZ25" s="157"/>
      <c r="IA25" s="157"/>
      <c r="IB25" s="157"/>
      <c r="IC25" s="157"/>
      <c r="ID25" s="157"/>
      <c r="IE25" s="157"/>
      <c r="IF25" s="157"/>
      <c r="IG25" s="157"/>
      <c r="IH25" s="157"/>
      <c r="II25" s="157"/>
      <c r="IJ25" s="157"/>
      <c r="IK25" s="157"/>
      <c r="IL25" s="157"/>
      <c r="IM25" s="157"/>
      <c r="IN25" s="157"/>
      <c r="IO25" s="157"/>
      <c r="IP25" s="157"/>
      <c r="IQ25" s="157"/>
      <c r="IR25" s="157"/>
      <c r="IS25" s="157"/>
      <c r="IT25" s="157"/>
      <c r="IU25" s="157"/>
      <c r="IV25" s="157"/>
      <c r="IW25" s="157"/>
      <c r="IX25" s="157"/>
      <c r="IY25" s="157"/>
      <c r="IZ25" s="157"/>
      <c r="JA25" s="157"/>
      <c r="JB25" s="157"/>
      <c r="JC25" s="157"/>
      <c r="JD25" s="157"/>
      <c r="JE25" s="157"/>
      <c r="JF25" s="157"/>
      <c r="JG25" s="157"/>
      <c r="JH25" s="157"/>
      <c r="JI25" s="157"/>
      <c r="JJ25" s="157"/>
      <c r="JK25" s="157"/>
      <c r="JL25" s="157"/>
      <c r="JM25" s="157"/>
      <c r="JN25" s="157"/>
      <c r="JO25" s="157"/>
      <c r="JP25" s="157"/>
      <c r="JQ25" s="157"/>
      <c r="JR25" s="157"/>
      <c r="JS25" s="157"/>
      <c r="JT25" s="157"/>
      <c r="JU25" s="157"/>
      <c r="JV25" s="157"/>
      <c r="JW25" s="157"/>
      <c r="JX25" s="157"/>
      <c r="JY25" s="157"/>
      <c r="JZ25" s="157"/>
      <c r="KA25" s="157"/>
      <c r="KB25" s="157"/>
      <c r="KC25" s="157"/>
      <c r="KD25" s="157"/>
      <c r="KE25" s="157"/>
      <c r="KF25" s="157"/>
      <c r="KG25" s="157"/>
      <c r="KH25" s="157"/>
      <c r="KI25" s="157"/>
      <c r="KJ25" s="157"/>
      <c r="KK25" s="157"/>
      <c r="KL25" s="157"/>
      <c r="KM25" s="157"/>
      <c r="KN25" s="157"/>
      <c r="KO25" s="157"/>
      <c r="KP25" s="157"/>
      <c r="KQ25" s="157"/>
      <c r="KR25" s="157"/>
      <c r="KS25" s="157"/>
      <c r="KT25" s="157"/>
      <c r="KU25" s="157"/>
      <c r="KV25" s="157"/>
      <c r="KW25" s="157"/>
      <c r="KX25" s="157"/>
      <c r="KY25" s="157"/>
      <c r="KZ25" s="157"/>
      <c r="LA25" s="157"/>
      <c r="LB25" s="157"/>
      <c r="LC25" s="157"/>
      <c r="LD25" s="157"/>
      <c r="LE25" s="157"/>
      <c r="LF25" s="157"/>
      <c r="LG25" s="157"/>
      <c r="LH25" s="157"/>
      <c r="LI25" s="157"/>
      <c r="LJ25" s="157"/>
      <c r="LK25" s="157"/>
      <c r="LL25" s="157"/>
      <c r="LM25" s="157"/>
      <c r="LN25" s="157"/>
      <c r="LO25" s="157"/>
      <c r="LP25" s="157"/>
      <c r="LQ25" s="157"/>
      <c r="LR25" s="157"/>
      <c r="LS25" s="157"/>
      <c r="LT25" s="157"/>
      <c r="LU25" s="157"/>
      <c r="LV25" s="157"/>
      <c r="LW25" s="157"/>
      <c r="LX25" s="157"/>
      <c r="LY25" s="157"/>
      <c r="LZ25" s="157"/>
      <c r="MA25" s="157"/>
      <c r="MB25" s="157"/>
      <c r="MC25" s="157"/>
      <c r="MD25" s="157"/>
      <c r="ME25" s="157"/>
      <c r="MF25" s="157"/>
      <c r="MG25" s="157"/>
      <c r="MH25" s="157"/>
      <c r="MI25" s="157"/>
      <c r="MJ25" s="157"/>
      <c r="MK25" s="157"/>
      <c r="ML25" s="157"/>
      <c r="MM25" s="157"/>
      <c r="MN25" s="157"/>
      <c r="MO25" s="157"/>
      <c r="MP25" s="157"/>
      <c r="MQ25" s="157"/>
      <c r="MR25" s="157"/>
      <c r="MS25" s="157"/>
      <c r="MT25" s="157"/>
      <c r="MU25" s="157"/>
      <c r="MV25" s="157"/>
      <c r="MW25" s="157"/>
      <c r="MX25" s="157"/>
      <c r="MY25" s="157"/>
      <c r="MZ25" s="157"/>
      <c r="NA25" s="157"/>
      <c r="NB25" s="157"/>
      <c r="NC25" s="157"/>
      <c r="ND25" s="157"/>
      <c r="NE25" s="157"/>
      <c r="NF25" s="157"/>
      <c r="NG25" s="157"/>
      <c r="NH25" s="157"/>
      <c r="NI25" s="157"/>
      <c r="NJ25" s="157"/>
      <c r="NK25" s="157"/>
      <c r="NL25" s="157"/>
      <c r="NM25" s="157"/>
      <c r="NN25" s="157"/>
      <c r="NO25" s="157"/>
      <c r="NP25" s="157"/>
      <c r="NQ25" s="157"/>
      <c r="NR25" s="157"/>
      <c r="NS25" s="157"/>
      <c r="NT25" s="157"/>
      <c r="NU25" s="157"/>
    </row>
    <row r="26" spans="1:385">
      <c r="GK26" s="157"/>
      <c r="GL26" s="157"/>
      <c r="GM26" s="157"/>
      <c r="GN26" s="157"/>
      <c r="GO26" s="157"/>
      <c r="GP26" s="157"/>
      <c r="GQ26" s="157"/>
      <c r="GR26" s="157"/>
      <c r="GS26" s="157"/>
      <c r="GT26" s="157"/>
      <c r="GU26" s="157"/>
      <c r="GV26" s="157"/>
      <c r="GW26" s="157"/>
      <c r="GX26" s="157"/>
      <c r="GY26" s="157"/>
      <c r="GZ26" s="157"/>
      <c r="HA26" s="157"/>
      <c r="HB26" s="157"/>
      <c r="HC26" s="157"/>
      <c r="HD26" s="157"/>
      <c r="HE26" s="157"/>
      <c r="HF26" s="157"/>
      <c r="HG26" s="157"/>
      <c r="HH26" s="157"/>
      <c r="HI26" s="157"/>
      <c r="HJ26" s="157"/>
      <c r="HK26" s="157"/>
      <c r="HL26" s="157"/>
      <c r="HM26" s="157"/>
      <c r="HN26" s="157"/>
      <c r="HO26" s="157"/>
      <c r="HP26" s="157"/>
      <c r="HQ26" s="157"/>
      <c r="HR26" s="157"/>
      <c r="HS26" s="157"/>
      <c r="HT26" s="157"/>
      <c r="HU26" s="157"/>
      <c r="HV26" s="157"/>
      <c r="HW26" s="157"/>
      <c r="HX26" s="157"/>
      <c r="HY26" s="157"/>
      <c r="HZ26" s="157"/>
      <c r="IA26" s="157"/>
      <c r="IB26" s="157"/>
      <c r="IC26" s="157"/>
      <c r="ID26" s="157"/>
      <c r="IE26" s="157"/>
      <c r="IF26" s="157"/>
      <c r="IG26" s="157"/>
      <c r="IH26" s="157"/>
      <c r="II26" s="157"/>
      <c r="IJ26" s="157"/>
      <c r="IK26" s="157"/>
      <c r="IL26" s="157"/>
      <c r="IM26" s="157"/>
      <c r="IN26" s="157"/>
      <c r="IO26" s="157"/>
      <c r="IP26" s="157"/>
      <c r="IQ26" s="157"/>
      <c r="IR26" s="157"/>
      <c r="IS26" s="157"/>
      <c r="IT26" s="157"/>
      <c r="IU26" s="157"/>
      <c r="IV26" s="157"/>
      <c r="IW26" s="157"/>
      <c r="IX26" s="157"/>
      <c r="IY26" s="157"/>
      <c r="IZ26" s="157"/>
      <c r="JA26" s="157"/>
      <c r="JB26" s="157"/>
      <c r="JC26" s="157"/>
      <c r="JD26" s="157"/>
      <c r="JE26" s="157"/>
      <c r="JF26" s="157"/>
      <c r="JG26" s="157"/>
      <c r="JH26" s="157"/>
      <c r="JI26" s="157"/>
      <c r="JJ26" s="157"/>
      <c r="JK26" s="157"/>
      <c r="JL26" s="157"/>
      <c r="JM26" s="157"/>
      <c r="JN26" s="157"/>
      <c r="JO26" s="157"/>
      <c r="JP26" s="157"/>
      <c r="JQ26" s="157"/>
      <c r="JR26" s="157"/>
      <c r="JS26" s="157"/>
      <c r="JT26" s="157"/>
      <c r="JU26" s="157"/>
      <c r="JV26" s="157"/>
      <c r="JW26" s="157"/>
      <c r="JX26" s="157"/>
      <c r="JY26" s="157"/>
      <c r="JZ26" s="157"/>
      <c r="KA26" s="157"/>
      <c r="KB26" s="157"/>
      <c r="KC26" s="157"/>
      <c r="KD26" s="157"/>
      <c r="KE26" s="157"/>
      <c r="KF26" s="157"/>
      <c r="KG26" s="157"/>
      <c r="KH26" s="157"/>
      <c r="KI26" s="157"/>
      <c r="KJ26" s="157"/>
      <c r="KK26" s="157"/>
      <c r="KL26" s="157"/>
      <c r="KM26" s="157"/>
      <c r="KN26" s="157"/>
      <c r="KO26" s="157"/>
      <c r="KP26" s="157"/>
      <c r="KQ26" s="157"/>
      <c r="KR26" s="157"/>
      <c r="KS26" s="157"/>
      <c r="KT26" s="157"/>
      <c r="KU26" s="157"/>
      <c r="KV26" s="157"/>
      <c r="KW26" s="157"/>
      <c r="KX26" s="157"/>
      <c r="KY26" s="157"/>
      <c r="KZ26" s="157"/>
      <c r="LA26" s="157"/>
      <c r="LB26" s="157"/>
      <c r="LC26" s="157"/>
      <c r="LD26" s="157"/>
      <c r="LE26" s="157"/>
      <c r="LF26" s="157"/>
      <c r="LG26" s="157"/>
      <c r="LH26" s="157"/>
      <c r="LI26" s="157"/>
      <c r="LJ26" s="157"/>
      <c r="LK26" s="157"/>
      <c r="LL26" s="157"/>
      <c r="LM26" s="157"/>
      <c r="LN26" s="157"/>
      <c r="LO26" s="157"/>
      <c r="LP26" s="157"/>
      <c r="LQ26" s="157"/>
      <c r="LR26" s="157"/>
      <c r="LS26" s="157"/>
      <c r="LT26" s="157"/>
      <c r="LU26" s="157"/>
      <c r="LV26" s="157"/>
      <c r="LW26" s="157"/>
      <c r="LX26" s="157"/>
      <c r="LY26" s="157"/>
      <c r="LZ26" s="157"/>
      <c r="MA26" s="157"/>
      <c r="MB26" s="157"/>
      <c r="MC26" s="157"/>
      <c r="MD26" s="157"/>
      <c r="ME26" s="157"/>
      <c r="MF26" s="157"/>
      <c r="MG26" s="157"/>
      <c r="MH26" s="157"/>
      <c r="MI26" s="157"/>
      <c r="MJ26" s="157"/>
      <c r="MK26" s="157"/>
      <c r="ML26" s="157"/>
      <c r="MM26" s="157"/>
      <c r="MN26" s="157"/>
      <c r="MO26" s="157"/>
      <c r="MP26" s="157"/>
      <c r="MQ26" s="157"/>
      <c r="MR26" s="157"/>
      <c r="MS26" s="157"/>
      <c r="MT26" s="157"/>
      <c r="MU26" s="157"/>
      <c r="MV26" s="157"/>
      <c r="MW26" s="157"/>
      <c r="MX26" s="157"/>
      <c r="MY26" s="157"/>
      <c r="MZ26" s="157"/>
      <c r="NA26" s="157"/>
      <c r="NB26" s="157"/>
      <c r="NC26" s="157"/>
      <c r="ND26" s="157"/>
      <c r="NE26" s="157"/>
      <c r="NF26" s="157"/>
      <c r="NG26" s="157"/>
      <c r="NH26" s="157"/>
      <c r="NI26" s="157"/>
      <c r="NJ26" s="157"/>
      <c r="NK26" s="157"/>
      <c r="NL26" s="157"/>
      <c r="NM26" s="157"/>
      <c r="NN26" s="157"/>
      <c r="NO26" s="157"/>
      <c r="NP26" s="157"/>
      <c r="NQ26" s="157"/>
      <c r="NR26" s="157"/>
      <c r="NS26" s="157"/>
      <c r="NT26" s="157"/>
      <c r="NU26" s="157"/>
    </row>
    <row r="27" spans="1:385">
      <c r="GK27" s="157"/>
      <c r="GL27" s="157"/>
      <c r="GM27" s="157"/>
      <c r="GN27" s="157"/>
      <c r="GO27" s="157"/>
      <c r="GP27" s="157"/>
      <c r="GQ27" s="157"/>
      <c r="GR27" s="157"/>
      <c r="GS27" s="157"/>
      <c r="GT27" s="157"/>
      <c r="GU27" s="157"/>
      <c r="GV27" s="157"/>
      <c r="GW27" s="157"/>
      <c r="GX27" s="157"/>
      <c r="GY27" s="157"/>
      <c r="GZ27" s="157"/>
      <c r="HA27" s="157"/>
      <c r="HB27" s="157"/>
      <c r="HC27" s="157"/>
      <c r="HD27" s="157"/>
      <c r="HE27" s="157"/>
      <c r="HF27" s="157"/>
      <c r="HG27" s="157"/>
      <c r="HH27" s="157"/>
      <c r="HI27" s="157"/>
      <c r="HJ27" s="157"/>
      <c r="HK27" s="157"/>
      <c r="HL27" s="157"/>
      <c r="HM27" s="157"/>
      <c r="HN27" s="157"/>
      <c r="HO27" s="157"/>
      <c r="HP27" s="157"/>
      <c r="HQ27" s="157"/>
      <c r="HR27" s="157"/>
      <c r="HS27" s="157"/>
      <c r="HT27" s="157"/>
      <c r="HU27" s="157"/>
      <c r="HV27" s="157"/>
      <c r="HW27" s="157"/>
      <c r="HX27" s="157"/>
      <c r="HY27" s="157"/>
      <c r="HZ27" s="157"/>
      <c r="IA27" s="157"/>
      <c r="IB27" s="157"/>
      <c r="IC27" s="157"/>
      <c r="ID27" s="157"/>
      <c r="IE27" s="157"/>
      <c r="IF27" s="157"/>
      <c r="IG27" s="157"/>
      <c r="IH27" s="157"/>
      <c r="II27" s="157"/>
      <c r="IJ27" s="157"/>
      <c r="IK27" s="157"/>
      <c r="IL27" s="157"/>
      <c r="IM27" s="157"/>
      <c r="IN27" s="157"/>
      <c r="IO27" s="157"/>
      <c r="IP27" s="157"/>
      <c r="IQ27" s="157"/>
      <c r="IR27" s="157"/>
      <c r="IS27" s="157"/>
      <c r="IT27" s="157"/>
      <c r="IU27" s="157"/>
      <c r="IV27" s="157"/>
      <c r="IW27" s="157"/>
      <c r="IX27" s="157"/>
      <c r="IY27" s="157"/>
      <c r="IZ27" s="157"/>
      <c r="JA27" s="157"/>
      <c r="JB27" s="157"/>
      <c r="JC27" s="157"/>
      <c r="JD27" s="157"/>
      <c r="JE27" s="157"/>
      <c r="JF27" s="157"/>
      <c r="JG27" s="157"/>
      <c r="JH27" s="157"/>
      <c r="JI27" s="157"/>
      <c r="JJ27" s="157"/>
      <c r="JK27" s="157"/>
      <c r="JL27" s="157"/>
      <c r="JM27" s="157"/>
      <c r="JN27" s="157"/>
      <c r="JO27" s="157"/>
      <c r="JP27" s="157"/>
      <c r="JQ27" s="157"/>
      <c r="JR27" s="157"/>
      <c r="JS27" s="157"/>
      <c r="JT27" s="157"/>
      <c r="JU27" s="157"/>
      <c r="JV27" s="157"/>
      <c r="JW27" s="157"/>
      <c r="JX27" s="157"/>
      <c r="JY27" s="157"/>
      <c r="JZ27" s="157"/>
      <c r="KA27" s="157"/>
      <c r="KB27" s="157"/>
      <c r="KC27" s="157"/>
      <c r="KD27" s="157"/>
      <c r="KE27" s="157"/>
      <c r="KF27" s="157"/>
      <c r="KG27" s="157"/>
      <c r="KH27" s="157"/>
      <c r="KI27" s="157"/>
      <c r="KJ27" s="157"/>
      <c r="KK27" s="157"/>
      <c r="KL27" s="157"/>
      <c r="KM27" s="157"/>
      <c r="KN27" s="157"/>
      <c r="KO27" s="157"/>
      <c r="KP27" s="157"/>
      <c r="KQ27" s="157"/>
      <c r="KR27" s="157"/>
      <c r="KS27" s="157"/>
      <c r="KT27" s="157"/>
      <c r="KU27" s="157"/>
      <c r="KV27" s="157"/>
      <c r="KW27" s="157"/>
      <c r="KX27" s="157"/>
      <c r="KY27" s="157"/>
      <c r="KZ27" s="157"/>
      <c r="LA27" s="157"/>
      <c r="LB27" s="157"/>
      <c r="LC27" s="157"/>
      <c r="LD27" s="157"/>
      <c r="LE27" s="157"/>
      <c r="LF27" s="157"/>
      <c r="LG27" s="157"/>
      <c r="LH27" s="157"/>
      <c r="LI27" s="157"/>
      <c r="LJ27" s="157"/>
      <c r="LK27" s="157"/>
      <c r="LL27" s="157"/>
      <c r="LM27" s="157"/>
      <c r="LN27" s="157"/>
      <c r="LO27" s="157"/>
      <c r="LP27" s="157"/>
      <c r="LQ27" s="157"/>
      <c r="LR27" s="157"/>
      <c r="LS27" s="157"/>
      <c r="LT27" s="157"/>
      <c r="LU27" s="157"/>
      <c r="LV27" s="157"/>
      <c r="LW27" s="157"/>
      <c r="LX27" s="157"/>
      <c r="LY27" s="157"/>
      <c r="LZ27" s="157"/>
      <c r="MA27" s="157"/>
      <c r="MB27" s="157"/>
      <c r="MC27" s="157"/>
      <c r="MD27" s="157"/>
      <c r="ME27" s="157"/>
      <c r="MF27" s="157"/>
      <c r="MG27" s="157"/>
      <c r="MH27" s="157"/>
      <c r="MI27" s="157"/>
      <c r="MJ27" s="157"/>
      <c r="MK27" s="157"/>
      <c r="ML27" s="157"/>
      <c r="MM27" s="157"/>
      <c r="MN27" s="157"/>
      <c r="MO27" s="157"/>
      <c r="MP27" s="157"/>
      <c r="MQ27" s="157"/>
      <c r="MR27" s="157"/>
      <c r="MS27" s="157"/>
      <c r="MT27" s="157"/>
      <c r="MU27" s="157"/>
      <c r="MV27" s="157"/>
      <c r="MW27" s="157"/>
      <c r="MX27" s="157"/>
      <c r="MY27" s="157"/>
      <c r="MZ27" s="157"/>
      <c r="NA27" s="157"/>
      <c r="NB27" s="157"/>
      <c r="NC27" s="157"/>
      <c r="ND27" s="157"/>
      <c r="NE27" s="157"/>
      <c r="NF27" s="157"/>
      <c r="NG27" s="157"/>
      <c r="NH27" s="157"/>
      <c r="NI27" s="157"/>
      <c r="NJ27" s="157"/>
      <c r="NK27" s="157"/>
      <c r="NL27" s="157"/>
      <c r="NM27" s="157"/>
      <c r="NN27" s="157"/>
      <c r="NO27" s="157"/>
      <c r="NP27" s="157"/>
      <c r="NQ27" s="157"/>
      <c r="NR27" s="157"/>
      <c r="NS27" s="157"/>
      <c r="NT27" s="157"/>
      <c r="NU27" s="157"/>
    </row>
    <row r="28" spans="1:385">
      <c r="GK28" s="157"/>
      <c r="GL28" s="157"/>
      <c r="GM28" s="157"/>
      <c r="GN28" s="157"/>
      <c r="GO28" s="157"/>
      <c r="GP28" s="157"/>
      <c r="GQ28" s="157"/>
      <c r="GR28" s="157"/>
      <c r="GS28" s="157"/>
      <c r="GT28" s="157"/>
      <c r="GU28" s="157"/>
      <c r="GV28" s="157"/>
      <c r="GW28" s="157"/>
      <c r="GX28" s="157"/>
      <c r="GY28" s="157"/>
      <c r="GZ28" s="157"/>
      <c r="HA28" s="157"/>
      <c r="HB28" s="157"/>
      <c r="HC28" s="157"/>
      <c r="HD28" s="157"/>
      <c r="HE28" s="157"/>
      <c r="HF28" s="157"/>
      <c r="HG28" s="157"/>
      <c r="HH28" s="157"/>
      <c r="HI28" s="157"/>
      <c r="HJ28" s="157"/>
      <c r="HK28" s="157"/>
      <c r="HL28" s="157"/>
      <c r="HM28" s="157"/>
      <c r="HN28" s="157"/>
      <c r="HO28" s="157"/>
      <c r="HP28" s="157"/>
      <c r="HQ28" s="157"/>
      <c r="HR28" s="157"/>
      <c r="HS28" s="157"/>
      <c r="HT28" s="157"/>
      <c r="HU28" s="157"/>
      <c r="HV28" s="157"/>
      <c r="HW28" s="157"/>
      <c r="HX28" s="157"/>
      <c r="HY28" s="157"/>
      <c r="HZ28" s="157"/>
      <c r="IA28" s="157"/>
      <c r="IB28" s="157"/>
      <c r="IC28" s="157"/>
      <c r="ID28" s="157"/>
      <c r="IE28" s="157"/>
      <c r="IF28" s="157"/>
      <c r="IG28" s="157"/>
      <c r="IH28" s="157"/>
      <c r="II28" s="157"/>
      <c r="IJ28" s="157"/>
      <c r="IK28" s="157"/>
      <c r="IL28" s="157"/>
      <c r="IM28" s="157"/>
      <c r="IN28" s="157"/>
      <c r="IO28" s="157"/>
      <c r="IP28" s="157"/>
      <c r="IQ28" s="157"/>
      <c r="IR28" s="157"/>
      <c r="IS28" s="157"/>
      <c r="IT28" s="157"/>
      <c r="IU28" s="157"/>
      <c r="IV28" s="157"/>
      <c r="IW28" s="157"/>
      <c r="IX28" s="157"/>
      <c r="IY28" s="157"/>
      <c r="IZ28" s="157"/>
      <c r="JA28" s="157"/>
      <c r="JB28" s="157"/>
      <c r="JC28" s="157"/>
      <c r="JD28" s="157"/>
      <c r="JE28" s="157"/>
      <c r="JF28" s="157"/>
      <c r="JG28" s="157"/>
      <c r="JH28" s="157"/>
      <c r="JI28" s="157"/>
      <c r="JJ28" s="157"/>
      <c r="JK28" s="157"/>
      <c r="JL28" s="157"/>
      <c r="JM28" s="157"/>
      <c r="JN28" s="157"/>
      <c r="JO28" s="157"/>
      <c r="JP28" s="157"/>
      <c r="JQ28" s="157"/>
      <c r="JR28" s="157"/>
      <c r="JS28" s="157"/>
      <c r="JT28" s="157"/>
      <c r="JU28" s="157"/>
      <c r="JV28" s="157"/>
      <c r="JW28" s="157"/>
      <c r="JX28" s="157"/>
      <c r="JY28" s="157"/>
      <c r="JZ28" s="157"/>
      <c r="KA28" s="157"/>
      <c r="KB28" s="157"/>
      <c r="KC28" s="157"/>
      <c r="KD28" s="157"/>
      <c r="KE28" s="157"/>
      <c r="KF28" s="157"/>
      <c r="KG28" s="157"/>
      <c r="KH28" s="157"/>
      <c r="KI28" s="157"/>
      <c r="KJ28" s="157"/>
      <c r="KK28" s="157"/>
      <c r="KL28" s="157"/>
      <c r="KM28" s="157"/>
      <c r="KN28" s="157"/>
      <c r="KO28" s="157"/>
      <c r="KP28" s="157"/>
      <c r="KQ28" s="157"/>
      <c r="KR28" s="157"/>
      <c r="KS28" s="157"/>
      <c r="KT28" s="157"/>
      <c r="KU28" s="157"/>
      <c r="KV28" s="157"/>
      <c r="KW28" s="157"/>
      <c r="KX28" s="157"/>
      <c r="KY28" s="157"/>
      <c r="KZ28" s="157"/>
      <c r="LA28" s="157"/>
      <c r="LB28" s="157"/>
      <c r="LC28" s="157"/>
      <c r="LD28" s="157"/>
      <c r="LE28" s="157"/>
      <c r="LF28" s="157"/>
      <c r="LG28" s="157"/>
      <c r="LH28" s="157"/>
      <c r="LI28" s="157"/>
      <c r="LJ28" s="157"/>
      <c r="LK28" s="157"/>
      <c r="LL28" s="157"/>
      <c r="LM28" s="157"/>
      <c r="LN28" s="157"/>
      <c r="LO28" s="157"/>
      <c r="LP28" s="157"/>
      <c r="LQ28" s="157"/>
      <c r="LR28" s="157"/>
      <c r="LS28" s="157"/>
      <c r="LT28" s="157"/>
      <c r="LU28" s="157"/>
      <c r="LV28" s="157"/>
      <c r="LW28" s="157"/>
      <c r="LX28" s="157"/>
      <c r="LY28" s="157"/>
      <c r="LZ28" s="157"/>
      <c r="MA28" s="157"/>
      <c r="MB28" s="157"/>
      <c r="MC28" s="157"/>
      <c r="MD28" s="157"/>
      <c r="ME28" s="157"/>
      <c r="MF28" s="157"/>
      <c r="MG28" s="157"/>
      <c r="MH28" s="157"/>
      <c r="MI28" s="157"/>
      <c r="MJ28" s="157"/>
      <c r="MK28" s="157"/>
      <c r="ML28" s="157"/>
      <c r="MM28" s="157"/>
      <c r="MN28" s="157"/>
      <c r="MO28" s="157"/>
      <c r="MP28" s="157"/>
      <c r="MQ28" s="157"/>
      <c r="MR28" s="157"/>
      <c r="MS28" s="157"/>
      <c r="MT28" s="157"/>
      <c r="MU28" s="157"/>
      <c r="MV28" s="157"/>
      <c r="MW28" s="157"/>
      <c r="MX28" s="157"/>
      <c r="MY28" s="157"/>
      <c r="MZ28" s="157"/>
      <c r="NA28" s="157"/>
      <c r="NB28" s="157"/>
      <c r="NC28" s="157"/>
      <c r="ND28" s="157"/>
      <c r="NE28" s="157"/>
      <c r="NF28" s="157"/>
      <c r="NG28" s="157"/>
      <c r="NH28" s="157"/>
      <c r="NI28" s="157"/>
      <c r="NJ28" s="157"/>
      <c r="NK28" s="157"/>
      <c r="NL28" s="157"/>
      <c r="NM28" s="157"/>
      <c r="NN28" s="157"/>
      <c r="NO28" s="157"/>
      <c r="NP28" s="157"/>
      <c r="NQ28" s="157"/>
      <c r="NR28" s="157"/>
      <c r="NS28" s="157"/>
      <c r="NT28" s="157"/>
      <c r="NU28" s="157"/>
    </row>
    <row r="29" spans="1:385">
      <c r="GK29" s="157"/>
      <c r="GL29" s="157"/>
      <c r="GM29" s="157"/>
      <c r="GN29" s="157"/>
      <c r="GO29" s="157"/>
      <c r="GP29" s="157"/>
      <c r="GQ29" s="157"/>
      <c r="GR29" s="157"/>
      <c r="GS29" s="157"/>
      <c r="GT29" s="157"/>
      <c r="GU29" s="157"/>
      <c r="GV29" s="157"/>
      <c r="GW29" s="157"/>
      <c r="GX29" s="157"/>
      <c r="GY29" s="157"/>
      <c r="GZ29" s="157"/>
      <c r="HA29" s="157"/>
      <c r="HB29" s="157"/>
      <c r="HC29" s="157"/>
      <c r="HD29" s="157"/>
      <c r="HE29" s="157"/>
      <c r="HF29" s="157"/>
      <c r="HG29" s="157"/>
      <c r="HH29" s="157"/>
      <c r="HI29" s="157"/>
      <c r="HJ29" s="157"/>
      <c r="HK29" s="157"/>
      <c r="HL29" s="157"/>
      <c r="HM29" s="157"/>
      <c r="HN29" s="157"/>
      <c r="HO29" s="157"/>
      <c r="HP29" s="157"/>
      <c r="HQ29" s="157"/>
      <c r="HR29" s="157"/>
      <c r="HS29" s="157"/>
      <c r="HT29" s="157"/>
      <c r="HU29" s="157"/>
      <c r="HV29" s="157"/>
      <c r="HW29" s="157"/>
      <c r="HX29" s="157"/>
      <c r="HY29" s="157"/>
      <c r="HZ29" s="157"/>
      <c r="IA29" s="157"/>
      <c r="IB29" s="157"/>
      <c r="IC29" s="157"/>
      <c r="ID29" s="157"/>
      <c r="IE29" s="157"/>
      <c r="IF29" s="157"/>
      <c r="IG29" s="157"/>
      <c r="IH29" s="157"/>
      <c r="II29" s="157"/>
      <c r="IJ29" s="157"/>
      <c r="IK29" s="157"/>
      <c r="IL29" s="157"/>
      <c r="IM29" s="157"/>
      <c r="IN29" s="157"/>
      <c r="IO29" s="157"/>
      <c r="IP29" s="157"/>
      <c r="IQ29" s="157"/>
      <c r="IR29" s="157"/>
      <c r="IS29" s="157"/>
      <c r="IT29" s="157"/>
      <c r="IU29" s="157"/>
      <c r="IV29" s="157"/>
      <c r="IW29" s="157"/>
      <c r="IX29" s="157"/>
      <c r="IY29" s="157"/>
      <c r="IZ29" s="157"/>
      <c r="JA29" s="157"/>
      <c r="JB29" s="157"/>
      <c r="JC29" s="157"/>
      <c r="JD29" s="157"/>
      <c r="JE29" s="157"/>
      <c r="JF29" s="157"/>
      <c r="JG29" s="157"/>
      <c r="JH29" s="157"/>
      <c r="JI29" s="157"/>
      <c r="JJ29" s="157"/>
      <c r="JK29" s="157"/>
      <c r="JL29" s="157"/>
      <c r="JM29" s="157"/>
      <c r="JN29" s="157"/>
      <c r="JO29" s="157"/>
      <c r="JP29" s="157"/>
      <c r="JQ29" s="157"/>
      <c r="JR29" s="157"/>
      <c r="JS29" s="157"/>
      <c r="JT29" s="157"/>
      <c r="JU29" s="157"/>
      <c r="JV29" s="157"/>
      <c r="JW29" s="157"/>
      <c r="JX29" s="157"/>
      <c r="JY29" s="157"/>
      <c r="JZ29" s="157"/>
      <c r="KA29" s="157"/>
      <c r="KB29" s="157"/>
      <c r="KC29" s="157"/>
      <c r="KD29" s="157"/>
      <c r="KE29" s="157"/>
      <c r="KF29" s="157"/>
      <c r="KG29" s="157"/>
      <c r="KH29" s="157"/>
      <c r="KI29" s="157"/>
      <c r="KJ29" s="157"/>
      <c r="KK29" s="157"/>
      <c r="KL29" s="157"/>
      <c r="KM29" s="157"/>
      <c r="KN29" s="157"/>
      <c r="KO29" s="157"/>
      <c r="KP29" s="157"/>
      <c r="KQ29" s="157"/>
      <c r="KR29" s="157"/>
      <c r="KS29" s="157"/>
      <c r="KT29" s="157"/>
      <c r="KU29" s="157"/>
      <c r="KV29" s="157"/>
      <c r="KW29" s="157"/>
      <c r="KX29" s="157"/>
      <c r="KY29" s="157"/>
      <c r="KZ29" s="157"/>
      <c r="LA29" s="157"/>
      <c r="LB29" s="157"/>
      <c r="LC29" s="157"/>
      <c r="LD29" s="157"/>
      <c r="LE29" s="157"/>
      <c r="LF29" s="157"/>
      <c r="LG29" s="157"/>
      <c r="LH29" s="157"/>
      <c r="LI29" s="157"/>
      <c r="LJ29" s="157"/>
      <c r="LK29" s="157"/>
      <c r="LL29" s="157"/>
      <c r="LM29" s="157"/>
      <c r="LN29" s="157"/>
      <c r="LO29" s="157"/>
      <c r="LP29" s="157"/>
      <c r="LQ29" s="157"/>
      <c r="LR29" s="157"/>
      <c r="LS29" s="157"/>
      <c r="LT29" s="157"/>
      <c r="LU29" s="157"/>
      <c r="LV29" s="157"/>
      <c r="LW29" s="157"/>
      <c r="LX29" s="157"/>
      <c r="LY29" s="157"/>
      <c r="LZ29" s="157"/>
      <c r="MA29" s="157"/>
      <c r="MB29" s="157"/>
      <c r="MC29" s="157"/>
      <c r="MD29" s="157"/>
      <c r="ME29" s="157"/>
      <c r="MF29" s="157"/>
      <c r="MG29" s="157"/>
      <c r="MH29" s="157"/>
      <c r="MI29" s="157"/>
      <c r="MJ29" s="157"/>
      <c r="MK29" s="157"/>
      <c r="ML29" s="157"/>
      <c r="MM29" s="157"/>
      <c r="MN29" s="157"/>
      <c r="MO29" s="157"/>
      <c r="MP29" s="157"/>
      <c r="MQ29" s="157"/>
      <c r="MR29" s="157"/>
      <c r="MS29" s="157"/>
      <c r="MT29" s="157"/>
      <c r="MU29" s="157"/>
      <c r="MV29" s="157"/>
      <c r="MW29" s="157"/>
      <c r="MX29" s="157"/>
      <c r="MY29" s="157"/>
      <c r="MZ29" s="157"/>
      <c r="NA29" s="157"/>
      <c r="NB29" s="157"/>
      <c r="NC29" s="157"/>
      <c r="ND29" s="157"/>
      <c r="NE29" s="157"/>
      <c r="NF29" s="157"/>
      <c r="NG29" s="157"/>
      <c r="NH29" s="157"/>
      <c r="NI29" s="157"/>
      <c r="NJ29" s="157"/>
      <c r="NK29" s="157"/>
      <c r="NL29" s="157"/>
      <c r="NM29" s="157"/>
      <c r="NN29" s="157"/>
      <c r="NO29" s="157"/>
      <c r="NP29" s="157"/>
      <c r="NQ29" s="157"/>
      <c r="NR29" s="157"/>
      <c r="NS29" s="157"/>
      <c r="NT29" s="157"/>
      <c r="NU29" s="157"/>
    </row>
    <row r="30" spans="1:385">
      <c r="GK30" s="157"/>
      <c r="GL30" s="157"/>
      <c r="GM30" s="157"/>
      <c r="GN30" s="157"/>
      <c r="GO30" s="157"/>
      <c r="GP30" s="157"/>
      <c r="GQ30" s="157"/>
      <c r="GR30" s="157"/>
      <c r="GS30" s="157"/>
      <c r="GT30" s="157"/>
      <c r="GU30" s="157"/>
      <c r="GV30" s="157"/>
      <c r="GW30" s="157"/>
      <c r="GX30" s="157"/>
      <c r="GY30" s="157"/>
      <c r="GZ30" s="157"/>
      <c r="HA30" s="157"/>
      <c r="HB30" s="157"/>
      <c r="HC30" s="157"/>
      <c r="HD30" s="157"/>
      <c r="HE30" s="157"/>
      <c r="HF30" s="157"/>
      <c r="HG30" s="157"/>
      <c r="HH30" s="157"/>
      <c r="HI30" s="157"/>
      <c r="HJ30" s="157"/>
      <c r="HK30" s="157"/>
      <c r="HL30" s="157"/>
      <c r="HM30" s="157"/>
      <c r="HN30" s="157"/>
      <c r="HO30" s="157"/>
      <c r="HP30" s="157"/>
      <c r="HQ30" s="157"/>
      <c r="HR30" s="157"/>
      <c r="HS30" s="157"/>
      <c r="HT30" s="157"/>
      <c r="HU30" s="157"/>
      <c r="HV30" s="157"/>
      <c r="HW30" s="157"/>
      <c r="HX30" s="157"/>
      <c r="HY30" s="157"/>
      <c r="HZ30" s="157"/>
      <c r="IA30" s="157"/>
      <c r="IB30" s="157"/>
      <c r="IC30" s="157"/>
      <c r="ID30" s="157"/>
      <c r="IE30" s="157"/>
      <c r="IF30" s="157"/>
      <c r="IG30" s="157"/>
      <c r="IH30" s="157"/>
      <c r="II30" s="157"/>
      <c r="IJ30" s="157"/>
      <c r="IK30" s="157"/>
      <c r="IL30" s="157"/>
      <c r="IM30" s="157"/>
      <c r="IN30" s="157"/>
      <c r="IO30" s="157"/>
      <c r="IP30" s="157"/>
      <c r="IQ30" s="157"/>
      <c r="IR30" s="157"/>
      <c r="IS30" s="157"/>
      <c r="IT30" s="157"/>
      <c r="IU30" s="157"/>
      <c r="IV30" s="157"/>
      <c r="IW30" s="157"/>
      <c r="IX30" s="157"/>
      <c r="IY30" s="157"/>
      <c r="IZ30" s="157"/>
      <c r="JA30" s="157"/>
      <c r="JB30" s="157"/>
      <c r="JC30" s="157"/>
      <c r="JD30" s="157"/>
      <c r="JE30" s="157"/>
      <c r="JF30" s="157"/>
      <c r="JG30" s="157"/>
      <c r="JH30" s="157"/>
      <c r="JI30" s="157"/>
      <c r="JJ30" s="157"/>
      <c r="JK30" s="157"/>
      <c r="JL30" s="157"/>
      <c r="JM30" s="157"/>
      <c r="JN30" s="157"/>
      <c r="JO30" s="157"/>
      <c r="JP30" s="157"/>
      <c r="JQ30" s="157"/>
      <c r="JR30" s="157"/>
      <c r="JS30" s="157"/>
      <c r="JT30" s="157"/>
      <c r="JU30" s="157"/>
      <c r="JV30" s="157"/>
      <c r="JW30" s="157"/>
      <c r="JX30" s="157"/>
      <c r="JY30" s="157"/>
      <c r="JZ30" s="157"/>
      <c r="KA30" s="157"/>
      <c r="KB30" s="157"/>
      <c r="KC30" s="157"/>
      <c r="KD30" s="157"/>
      <c r="KE30" s="157"/>
      <c r="KF30" s="157"/>
      <c r="KG30" s="157"/>
      <c r="KH30" s="157"/>
      <c r="KI30" s="157"/>
      <c r="KJ30" s="157"/>
      <c r="KK30" s="157"/>
      <c r="KL30" s="157"/>
      <c r="KM30" s="157"/>
      <c r="KN30" s="157"/>
      <c r="KO30" s="157"/>
      <c r="KP30" s="157"/>
      <c r="KQ30" s="157"/>
      <c r="KR30" s="157"/>
      <c r="KS30" s="157"/>
      <c r="KT30" s="157"/>
      <c r="KU30" s="157"/>
      <c r="KV30" s="157"/>
      <c r="KW30" s="157"/>
      <c r="KX30" s="157"/>
      <c r="KY30" s="157"/>
      <c r="KZ30" s="157"/>
      <c r="LA30" s="157"/>
      <c r="LB30" s="157"/>
      <c r="LC30" s="157"/>
      <c r="LD30" s="157"/>
      <c r="LE30" s="157"/>
      <c r="LF30" s="157"/>
      <c r="LG30" s="157"/>
      <c r="LH30" s="157"/>
      <c r="LI30" s="157"/>
      <c r="LJ30" s="157"/>
      <c r="LK30" s="157"/>
      <c r="LL30" s="157"/>
      <c r="LM30" s="157"/>
      <c r="LN30" s="157"/>
      <c r="LO30" s="157"/>
      <c r="LP30" s="157"/>
      <c r="LQ30" s="157"/>
      <c r="LR30" s="157"/>
      <c r="LS30" s="157"/>
      <c r="LT30" s="157"/>
      <c r="LU30" s="157"/>
      <c r="LV30" s="157"/>
      <c r="LW30" s="157"/>
      <c r="LX30" s="157"/>
      <c r="LY30" s="157"/>
      <c r="LZ30" s="157"/>
      <c r="MA30" s="157"/>
      <c r="MB30" s="157"/>
      <c r="MC30" s="157"/>
      <c r="MD30" s="157"/>
      <c r="ME30" s="157"/>
      <c r="MF30" s="157"/>
      <c r="MG30" s="157"/>
      <c r="MH30" s="157"/>
      <c r="MI30" s="157"/>
      <c r="MJ30" s="157"/>
      <c r="MK30" s="157"/>
      <c r="ML30" s="157"/>
      <c r="MM30" s="157"/>
      <c r="MN30" s="157"/>
      <c r="MO30" s="157"/>
      <c r="MP30" s="157"/>
      <c r="MQ30" s="157"/>
      <c r="MR30" s="157"/>
      <c r="MS30" s="157"/>
      <c r="MT30" s="157"/>
      <c r="MU30" s="157"/>
      <c r="MV30" s="157"/>
      <c r="MW30" s="157"/>
      <c r="MX30" s="157"/>
      <c r="MY30" s="157"/>
      <c r="MZ30" s="157"/>
      <c r="NA30" s="157"/>
      <c r="NB30" s="157"/>
      <c r="NC30" s="157"/>
      <c r="ND30" s="157"/>
      <c r="NE30" s="157"/>
      <c r="NF30" s="157"/>
      <c r="NG30" s="157"/>
      <c r="NH30" s="157"/>
      <c r="NI30" s="157"/>
      <c r="NJ30" s="157"/>
      <c r="NK30" s="157"/>
      <c r="NL30" s="157"/>
      <c r="NM30" s="157"/>
      <c r="NN30" s="157"/>
      <c r="NO30" s="157"/>
      <c r="NP30" s="157"/>
      <c r="NQ30" s="157"/>
      <c r="NR30" s="157"/>
      <c r="NS30" s="157"/>
      <c r="NT30" s="157"/>
      <c r="NU30" s="157"/>
    </row>
    <row r="31" spans="1:385">
      <c r="GK31" s="157"/>
      <c r="GL31" s="157"/>
      <c r="GM31" s="157"/>
      <c r="GN31" s="157"/>
      <c r="GO31" s="157"/>
      <c r="GP31" s="157"/>
      <c r="GQ31" s="157"/>
      <c r="GR31" s="157"/>
      <c r="GS31" s="157"/>
      <c r="GT31" s="157"/>
      <c r="GU31" s="157"/>
      <c r="GV31" s="157"/>
      <c r="GW31" s="157"/>
      <c r="GX31" s="157"/>
      <c r="GY31" s="157"/>
      <c r="GZ31" s="157"/>
      <c r="HA31" s="157"/>
      <c r="HB31" s="157"/>
      <c r="HC31" s="157"/>
      <c r="HD31" s="157"/>
      <c r="HE31" s="157"/>
      <c r="HF31" s="157"/>
      <c r="HG31" s="157"/>
      <c r="HH31" s="157"/>
      <c r="HI31" s="157"/>
      <c r="HJ31" s="157"/>
      <c r="HK31" s="157"/>
      <c r="HL31" s="157"/>
      <c r="HM31" s="157"/>
      <c r="HN31" s="157"/>
      <c r="HO31" s="157"/>
      <c r="HP31" s="157"/>
      <c r="HQ31" s="157"/>
      <c r="HR31" s="157"/>
      <c r="HS31" s="157"/>
      <c r="HT31" s="157"/>
      <c r="HU31" s="157"/>
      <c r="HV31" s="157"/>
      <c r="HW31" s="157"/>
      <c r="HX31" s="157"/>
      <c r="HY31" s="157"/>
      <c r="HZ31" s="157"/>
      <c r="IA31" s="157"/>
      <c r="IB31" s="157"/>
      <c r="IC31" s="157"/>
      <c r="ID31" s="157"/>
      <c r="IE31" s="157"/>
      <c r="IF31" s="157"/>
      <c r="IG31" s="157"/>
      <c r="IH31" s="157"/>
      <c r="II31" s="157"/>
      <c r="IJ31" s="157"/>
      <c r="IK31" s="157"/>
      <c r="IL31" s="157"/>
      <c r="IM31" s="157"/>
      <c r="IN31" s="157"/>
      <c r="IO31" s="157"/>
      <c r="IP31" s="157"/>
      <c r="IQ31" s="157"/>
      <c r="IR31" s="157"/>
      <c r="IS31" s="157"/>
      <c r="IT31" s="157"/>
      <c r="IU31" s="157"/>
      <c r="IV31" s="157"/>
      <c r="IW31" s="157"/>
      <c r="IX31" s="157"/>
      <c r="IY31" s="157"/>
      <c r="IZ31" s="157"/>
      <c r="JA31" s="157"/>
      <c r="JB31" s="157"/>
      <c r="JC31" s="157"/>
      <c r="JD31" s="157"/>
      <c r="JE31" s="157"/>
      <c r="JF31" s="157"/>
      <c r="JG31" s="157"/>
      <c r="JH31" s="157"/>
      <c r="JI31" s="157"/>
      <c r="JJ31" s="157"/>
      <c r="JK31" s="157"/>
      <c r="JL31" s="157"/>
      <c r="JM31" s="157"/>
      <c r="JN31" s="157"/>
      <c r="JO31" s="157"/>
      <c r="JP31" s="157"/>
      <c r="JQ31" s="157"/>
      <c r="JR31" s="157"/>
      <c r="JS31" s="157"/>
      <c r="JT31" s="157"/>
      <c r="JU31" s="157"/>
      <c r="JV31" s="157"/>
      <c r="JW31" s="157"/>
      <c r="JX31" s="157"/>
      <c r="JY31" s="157"/>
      <c r="JZ31" s="157"/>
      <c r="KA31" s="157"/>
      <c r="KB31" s="157"/>
      <c r="KC31" s="157"/>
      <c r="KD31" s="157"/>
      <c r="KE31" s="157"/>
      <c r="KF31" s="157"/>
      <c r="KG31" s="157"/>
      <c r="KH31" s="157"/>
      <c r="KI31" s="157"/>
      <c r="KJ31" s="157"/>
      <c r="KK31" s="157"/>
      <c r="KL31" s="157"/>
      <c r="KM31" s="157"/>
      <c r="KN31" s="157"/>
      <c r="KO31" s="157"/>
      <c r="KP31" s="157"/>
      <c r="KQ31" s="157"/>
      <c r="KR31" s="157"/>
      <c r="KS31" s="157"/>
      <c r="KT31" s="157"/>
      <c r="KU31" s="157"/>
      <c r="KV31" s="157"/>
      <c r="KW31" s="157"/>
      <c r="KX31" s="157"/>
      <c r="KY31" s="157"/>
      <c r="KZ31" s="157"/>
      <c r="LA31" s="157"/>
      <c r="LB31" s="157"/>
      <c r="LC31" s="157"/>
      <c r="LD31" s="157"/>
      <c r="LE31" s="157"/>
      <c r="LF31" s="157"/>
      <c r="LG31" s="157"/>
      <c r="LH31" s="157"/>
      <c r="LI31" s="157"/>
      <c r="LJ31" s="157"/>
      <c r="LK31" s="157"/>
      <c r="LL31" s="157"/>
      <c r="LM31" s="157"/>
      <c r="LN31" s="157"/>
      <c r="LO31" s="157"/>
      <c r="LP31" s="157"/>
      <c r="LQ31" s="157"/>
      <c r="LR31" s="157"/>
      <c r="LS31" s="157"/>
      <c r="LT31" s="157"/>
      <c r="LU31" s="157"/>
      <c r="LV31" s="157"/>
      <c r="LW31" s="157"/>
      <c r="LX31" s="157"/>
      <c r="LY31" s="157"/>
      <c r="LZ31" s="157"/>
      <c r="MA31" s="157"/>
      <c r="MB31" s="157"/>
      <c r="MC31" s="157"/>
      <c r="MD31" s="157"/>
      <c r="ME31" s="157"/>
      <c r="MF31" s="157"/>
      <c r="MG31" s="157"/>
      <c r="MH31" s="157"/>
      <c r="MI31" s="157"/>
      <c r="MJ31" s="157"/>
      <c r="MK31" s="157"/>
      <c r="ML31" s="157"/>
      <c r="MM31" s="157"/>
      <c r="MN31" s="157"/>
      <c r="MO31" s="157"/>
      <c r="MP31" s="157"/>
      <c r="MQ31" s="157"/>
      <c r="MR31" s="157"/>
      <c r="MS31" s="157"/>
      <c r="MT31" s="157"/>
      <c r="MU31" s="157"/>
      <c r="MV31" s="157"/>
      <c r="MW31" s="157"/>
      <c r="MX31" s="157"/>
      <c r="MY31" s="157"/>
      <c r="MZ31" s="157"/>
      <c r="NA31" s="157"/>
      <c r="NB31" s="157"/>
      <c r="NC31" s="157"/>
      <c r="ND31" s="157"/>
      <c r="NE31" s="157"/>
      <c r="NF31" s="157"/>
      <c r="NG31" s="157"/>
      <c r="NH31" s="157"/>
      <c r="NI31" s="157"/>
      <c r="NJ31" s="157"/>
      <c r="NK31" s="157"/>
      <c r="NL31" s="157"/>
      <c r="NM31" s="157"/>
      <c r="NN31" s="157"/>
      <c r="NO31" s="157"/>
      <c r="NP31" s="157"/>
      <c r="NQ31" s="157"/>
      <c r="NR31" s="157"/>
      <c r="NS31" s="157"/>
      <c r="NT31" s="157"/>
      <c r="NU31" s="157"/>
    </row>
  </sheetData>
  <customSheetViews>
    <customSheetView guid="{786DE933-524F-40D1-8033-C008687087FC}">
      <pageMargins left="0.7" right="0.7" top="0.75" bottom="0.75" header="0.3" footer="0.3"/>
      <pageSetup paperSize="9" orientation="portrait" r:id="rId1"/>
    </customSheetView>
    <customSheetView guid="{627AEB6E-B9F1-415E-9A60-881757A50C67}">
      <selection activeCell="J11" sqref="J11"/>
      <pageMargins left="0.7" right="0.7" top="0.75" bottom="0.75" header="0.3" footer="0.3"/>
      <pageSetup paperSize="9" orientation="portrait" r:id="rId2"/>
    </customSheetView>
    <customSheetView guid="{874BA5F8-BD95-4DDF-8F31-98DB154CA965}">
      <selection activeCell="C9" sqref="C9"/>
      <pageMargins left="0.7" right="0.7" top="0.75" bottom="0.75" header="0.3" footer="0.3"/>
    </customSheetView>
    <customSheetView guid="{AAA495E0-27FD-4941-85B8-9038B6AD4FA3}">
      <selection activeCell="C9" sqref="C9"/>
      <pageMargins left="0.7" right="0.7" top="0.75" bottom="0.75" header="0.3" footer="0.3"/>
    </customSheetView>
    <customSheetView guid="{77EFF5B1-32BE-4080-9902-B97F43099026}">
      <pageMargins left="0.7" right="0.7" top="0.75" bottom="0.75" header="0.3" footer="0.3"/>
      <pageSetup paperSize="9" orientation="portrait" r:id="rId3"/>
    </customSheetView>
  </customSheetViews>
  <pageMargins left="0.70866141732283472" right="0.70866141732283472" top="0.74803149606299213" bottom="0.74803149606299213" header="0.31496062992125984" footer="0.31496062992125984"/>
  <pageSetup paperSize="9" scale="21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L19"/>
  <sheetViews>
    <sheetView topLeftCell="A7" workbookViewId="0">
      <selection activeCell="G17" sqref="G17"/>
    </sheetView>
  </sheetViews>
  <sheetFormatPr defaultColWidth="20.7109375" defaultRowHeight="30" customHeight="1"/>
  <cols>
    <col min="1" max="1" width="8.7109375" customWidth="1"/>
    <col min="2" max="2" width="8.5703125" customWidth="1"/>
    <col min="3" max="3" width="34.42578125" customWidth="1"/>
    <col min="4" max="28" width="12.28515625" customWidth="1"/>
    <col min="29" max="29" width="12.7109375" style="107" customWidth="1"/>
    <col min="30" max="30" width="13.7109375" style="478" customWidth="1"/>
    <col min="31" max="34" width="12.7109375" customWidth="1"/>
    <col min="35" max="35" width="13.7109375" style="478" customWidth="1"/>
    <col min="36" max="36" width="13.42578125" customWidth="1"/>
    <col min="37" max="39" width="12.7109375" customWidth="1"/>
    <col min="40" max="40" width="15.7109375" customWidth="1"/>
    <col min="41" max="44" width="12.7109375" customWidth="1"/>
    <col min="45" max="45" width="15.7109375" customWidth="1"/>
    <col min="46" max="49" width="12.7109375" customWidth="1"/>
    <col min="50" max="50" width="15.7109375" customWidth="1"/>
    <col min="51" max="54" width="12.7109375" customWidth="1"/>
    <col min="55" max="55" width="15.7109375" customWidth="1"/>
    <col min="56" max="59" width="12.7109375" customWidth="1"/>
    <col min="60" max="60" width="15.7109375" customWidth="1"/>
    <col min="61" max="64" width="12.7109375" customWidth="1"/>
  </cols>
  <sheetData>
    <row r="2" spans="2:64" ht="30" customHeight="1">
      <c r="C2" s="223" t="s">
        <v>324</v>
      </c>
      <c r="AX2" s="216"/>
      <c r="AY2" s="216"/>
      <c r="AZ2" s="216"/>
    </row>
    <row r="3" spans="2:64" ht="9" customHeight="1"/>
    <row r="4" spans="2:64" ht="36" customHeight="1">
      <c r="C4" s="239"/>
      <c r="D4" s="239"/>
      <c r="E4" s="384">
        <v>2024</v>
      </c>
      <c r="F4" s="384" t="s">
        <v>894</v>
      </c>
      <c r="G4" s="384" t="s">
        <v>893</v>
      </c>
      <c r="H4" s="384" t="s">
        <v>892</v>
      </c>
      <c r="I4" s="384" t="s">
        <v>876</v>
      </c>
      <c r="J4" s="384">
        <v>2023</v>
      </c>
      <c r="K4" s="384" t="s">
        <v>795</v>
      </c>
      <c r="L4" s="384" t="s">
        <v>796</v>
      </c>
      <c r="M4" s="384" t="s">
        <v>797</v>
      </c>
      <c r="N4" s="384" t="s">
        <v>794</v>
      </c>
      <c r="O4" s="384">
        <v>2022</v>
      </c>
      <c r="P4" s="384" t="s">
        <v>717</v>
      </c>
      <c r="Q4" s="384" t="s">
        <v>716</v>
      </c>
      <c r="R4" s="384" t="s">
        <v>715</v>
      </c>
      <c r="S4" s="384" t="s">
        <v>704</v>
      </c>
      <c r="T4" s="384">
        <v>2021</v>
      </c>
      <c r="U4" s="384" t="s">
        <v>633</v>
      </c>
      <c r="V4" s="384" t="s">
        <v>634</v>
      </c>
      <c r="W4" s="277" t="s">
        <v>635</v>
      </c>
      <c r="X4" s="277" t="s">
        <v>636</v>
      </c>
      <c r="Y4" s="384">
        <v>2020</v>
      </c>
      <c r="Z4" s="384" t="s">
        <v>615</v>
      </c>
      <c r="AA4" s="384" t="s">
        <v>600</v>
      </c>
      <c r="AB4" s="277" t="s">
        <v>585</v>
      </c>
      <c r="AC4" s="277" t="s">
        <v>578</v>
      </c>
      <c r="AD4" s="240">
        <v>2019</v>
      </c>
      <c r="AE4" s="384" t="s">
        <v>567</v>
      </c>
      <c r="AF4" s="384" t="s">
        <v>553</v>
      </c>
      <c r="AG4" s="384" t="s">
        <v>539</v>
      </c>
      <c r="AH4" s="277" t="s">
        <v>530</v>
      </c>
      <c r="AI4" s="240">
        <v>2018</v>
      </c>
      <c r="AJ4" s="308" t="s">
        <v>517</v>
      </c>
      <c r="AK4" s="308" t="s">
        <v>502</v>
      </c>
      <c r="AL4" s="274" t="s">
        <v>458</v>
      </c>
      <c r="AM4" s="277" t="s">
        <v>440</v>
      </c>
      <c r="AN4" s="240">
        <v>2017</v>
      </c>
      <c r="AO4" s="274" t="s">
        <v>441</v>
      </c>
      <c r="AP4" s="275" t="s">
        <v>442</v>
      </c>
      <c r="AQ4" s="276" t="s">
        <v>443</v>
      </c>
      <c r="AR4" s="277" t="s">
        <v>444</v>
      </c>
      <c r="AS4" s="240">
        <v>2016</v>
      </c>
      <c r="AT4" s="274" t="s">
        <v>445</v>
      </c>
      <c r="AU4" s="275" t="s">
        <v>446</v>
      </c>
      <c r="AV4" s="276" t="s">
        <v>447</v>
      </c>
      <c r="AW4" s="277" t="s">
        <v>448</v>
      </c>
      <c r="AX4" s="240">
        <v>2015</v>
      </c>
      <c r="AY4" s="274" t="s">
        <v>449</v>
      </c>
      <c r="AZ4" s="275" t="s">
        <v>328</v>
      </c>
      <c r="BA4" s="276" t="s">
        <v>450</v>
      </c>
      <c r="BB4" s="277" t="s">
        <v>451</v>
      </c>
      <c r="BC4" s="240">
        <v>2014</v>
      </c>
      <c r="BD4" s="274" t="s">
        <v>452</v>
      </c>
      <c r="BE4" s="275" t="s">
        <v>294</v>
      </c>
      <c r="BF4" s="276" t="s">
        <v>453</v>
      </c>
      <c r="BG4" s="277" t="s">
        <v>454</v>
      </c>
      <c r="BH4" s="240">
        <v>2013</v>
      </c>
      <c r="BI4" s="274" t="s">
        <v>455</v>
      </c>
      <c r="BJ4" s="275" t="s">
        <v>456</v>
      </c>
      <c r="BK4" s="276" t="s">
        <v>297</v>
      </c>
      <c r="BL4" s="277" t="s">
        <v>457</v>
      </c>
    </row>
    <row r="5" spans="2:64" ht="30" customHeight="1">
      <c r="C5" s="224" t="s">
        <v>44</v>
      </c>
      <c r="D5" s="225" t="s">
        <v>46</v>
      </c>
      <c r="E5" s="404">
        <f t="shared" ref="E5:E13" si="0">SUM(F5:I5)</f>
        <v>0</v>
      </c>
      <c r="F5" s="404"/>
      <c r="G5" s="404"/>
      <c r="H5" s="404">
        <v>0</v>
      </c>
      <c r="I5" s="404">
        <v>0</v>
      </c>
      <c r="J5" s="404">
        <f t="shared" ref="J5:J13" si="1">SUM(K5:N5)</f>
        <v>0</v>
      </c>
      <c r="K5" s="404">
        <v>0</v>
      </c>
      <c r="L5" s="404">
        <v>0</v>
      </c>
      <c r="M5" s="404">
        <v>0</v>
      </c>
      <c r="N5" s="404">
        <v>0</v>
      </c>
      <c r="O5" s="385">
        <f t="shared" ref="O5:O13" si="2">SUM(P5:S5)</f>
        <v>5.0069999999999997</v>
      </c>
      <c r="P5" s="385">
        <v>1.601</v>
      </c>
      <c r="Q5" s="385">
        <v>0.70299999999999996</v>
      </c>
      <c r="R5" s="404">
        <v>1.25</v>
      </c>
      <c r="S5" s="385">
        <v>1.4530000000000001</v>
      </c>
      <c r="T5" s="522">
        <f t="shared" ref="T5:T13" si="3">SUM(U5:X5)</f>
        <v>5.1480000000000006</v>
      </c>
      <c r="U5" s="404">
        <v>1.45</v>
      </c>
      <c r="V5" s="527">
        <v>1</v>
      </c>
      <c r="W5" s="522">
        <v>1.264</v>
      </c>
      <c r="X5" s="404">
        <v>1.4339999999999999</v>
      </c>
      <c r="Y5" s="385">
        <v>4.54</v>
      </c>
      <c r="Z5" s="404">
        <f t="shared" ref="Z5:Z13" si="4">Y5-SUM(AA5:AC5)</f>
        <v>0.96</v>
      </c>
      <c r="AA5" s="404">
        <v>1.1000000000000001</v>
      </c>
      <c r="AB5" s="404">
        <v>1.3</v>
      </c>
      <c r="AC5" s="490">
        <v>1.18</v>
      </c>
      <c r="AD5" s="485">
        <v>3.78</v>
      </c>
      <c r="AE5" s="404">
        <v>0.83999999999999986</v>
      </c>
      <c r="AF5" s="385">
        <v>0.69</v>
      </c>
      <c r="AG5" s="385">
        <v>0.99</v>
      </c>
      <c r="AH5" s="280">
        <v>1.26</v>
      </c>
      <c r="AI5" s="479">
        <v>5.01</v>
      </c>
      <c r="AJ5" s="309">
        <v>1.4</v>
      </c>
      <c r="AK5" s="309">
        <v>1.0900000000000001</v>
      </c>
      <c r="AL5" s="278">
        <v>1.1000000000000001</v>
      </c>
      <c r="AM5" s="280">
        <v>1.42</v>
      </c>
      <c r="AN5" s="226">
        <v>6.45</v>
      </c>
      <c r="AO5" s="278">
        <v>1.7700000000000005</v>
      </c>
      <c r="AP5" s="279">
        <v>1.3599999999999999</v>
      </c>
      <c r="AQ5" s="279">
        <v>1.8099999999999998</v>
      </c>
      <c r="AR5" s="280">
        <v>1.51</v>
      </c>
      <c r="AS5" s="226">
        <v>6.37</v>
      </c>
      <c r="AT5" s="278">
        <v>2.16</v>
      </c>
      <c r="AU5" s="279">
        <v>1.73</v>
      </c>
      <c r="AV5" s="279">
        <v>1.27</v>
      </c>
      <c r="AW5" s="280">
        <v>1.21</v>
      </c>
      <c r="AX5" s="226">
        <v>4.91</v>
      </c>
      <c r="AY5" s="278">
        <v>1.46</v>
      </c>
      <c r="AZ5" s="279">
        <v>1.4400000000000004</v>
      </c>
      <c r="BA5" s="279">
        <v>1.0399999999999998</v>
      </c>
      <c r="BB5" s="280">
        <v>0.97</v>
      </c>
      <c r="BC5" s="226">
        <v>5.3968030000000002</v>
      </c>
      <c r="BD5" s="278">
        <v>1.4087710000000002</v>
      </c>
      <c r="BE5" s="279">
        <v>1.44</v>
      </c>
      <c r="BF5" s="279">
        <v>1.3</v>
      </c>
      <c r="BG5" s="280">
        <v>1.25</v>
      </c>
      <c r="BH5" s="226">
        <v>5.45</v>
      </c>
      <c r="BI5" s="278">
        <v>1.19</v>
      </c>
      <c r="BJ5" s="279">
        <v>1.26</v>
      </c>
      <c r="BK5" s="279">
        <v>1.48</v>
      </c>
      <c r="BL5" s="280">
        <v>1.52</v>
      </c>
    </row>
    <row r="6" spans="2:64" ht="30" customHeight="1">
      <c r="C6" s="224" t="s">
        <v>47</v>
      </c>
      <c r="D6" s="225" t="s">
        <v>3</v>
      </c>
      <c r="E6" s="385">
        <f t="shared" si="0"/>
        <v>7.9980000000000002</v>
      </c>
      <c r="F6" s="404"/>
      <c r="G6" s="385">
        <v>2.5880000000000001</v>
      </c>
      <c r="H6" s="404">
        <f>1.86+0.34</f>
        <v>2.2000000000000002</v>
      </c>
      <c r="I6" s="404">
        <v>3.21</v>
      </c>
      <c r="J6" s="385">
        <f t="shared" si="1"/>
        <v>12.667999999999999</v>
      </c>
      <c r="K6" s="385">
        <f>0.51+3.15+0.02</f>
        <v>3.68</v>
      </c>
      <c r="L6" s="404">
        <v>2.6840000000000002</v>
      </c>
      <c r="M6" s="385">
        <v>2.444</v>
      </c>
      <c r="N6" s="404">
        <f>3.84+0.02</f>
        <v>3.86</v>
      </c>
      <c r="O6" s="385">
        <f t="shared" si="2"/>
        <v>15.666</v>
      </c>
      <c r="P6" s="385">
        <f>4.369+0.005</f>
        <v>4.3739999999999997</v>
      </c>
      <c r="Q6" s="404">
        <f>3.3+0.15</f>
        <v>3.4499999999999997</v>
      </c>
      <c r="R6" s="404">
        <f>3.92+0.02</f>
        <v>3.94</v>
      </c>
      <c r="S6" s="385">
        <f>3.337+0.545+0.02</f>
        <v>3.9020000000000001</v>
      </c>
      <c r="T6" s="522">
        <f t="shared" si="3"/>
        <v>15.587999999999997</v>
      </c>
      <c r="U6" s="404">
        <f>3.73+0.48</f>
        <v>4.21</v>
      </c>
      <c r="V6" s="522">
        <v>3.64</v>
      </c>
      <c r="W6" s="522">
        <f>3.51+0.004</f>
        <v>3.5139999999999998</v>
      </c>
      <c r="X6" s="522">
        <f>4.22+0.004</f>
        <v>4.2239999999999993</v>
      </c>
      <c r="Y6" s="385">
        <f>1.94+10.56</f>
        <v>12.5</v>
      </c>
      <c r="Z6" s="404">
        <f t="shared" si="4"/>
        <v>3.7800000000000011</v>
      </c>
      <c r="AA6" s="404">
        <v>2.85</v>
      </c>
      <c r="AB6" s="404">
        <v>2.66</v>
      </c>
      <c r="AC6" s="490">
        <v>3.21</v>
      </c>
      <c r="AD6" s="486">
        <v>13.875713506999997</v>
      </c>
      <c r="AE6" s="385">
        <v>3.4609675430000006</v>
      </c>
      <c r="AF6" s="385">
        <v>3.26</v>
      </c>
      <c r="AG6" s="385">
        <v>3.33</v>
      </c>
      <c r="AH6" s="280">
        <v>3.82</v>
      </c>
      <c r="AI6" s="479">
        <v>16.21</v>
      </c>
      <c r="AJ6" s="309">
        <v>4.3</v>
      </c>
      <c r="AK6" s="309">
        <v>4.3499999999999996</v>
      </c>
      <c r="AL6" s="278">
        <v>3.62</v>
      </c>
      <c r="AM6" s="280">
        <v>3.9350000000000001</v>
      </c>
      <c r="AN6" s="226">
        <v>18.41</v>
      </c>
      <c r="AO6" s="278">
        <v>4.3800000000000008</v>
      </c>
      <c r="AP6" s="279">
        <v>4.5699999999999985</v>
      </c>
      <c r="AQ6" s="279">
        <v>4.5599999999999996</v>
      </c>
      <c r="AR6" s="280">
        <v>4.8899999999999997</v>
      </c>
      <c r="AS6" s="226">
        <v>16.8</v>
      </c>
      <c r="AT6" s="278">
        <v>4.3500000000000014</v>
      </c>
      <c r="AU6" s="279">
        <v>4</v>
      </c>
      <c r="AV6" s="279">
        <v>4.1399999999999997</v>
      </c>
      <c r="AW6" s="280">
        <v>4.3099999999999996</v>
      </c>
      <c r="AX6" s="226">
        <v>18.559999999999999</v>
      </c>
      <c r="AY6" s="278">
        <v>4.759999999999998</v>
      </c>
      <c r="AZ6" s="279">
        <v>5.0400000000000009</v>
      </c>
      <c r="BA6" s="279">
        <v>4.3599999999999994</v>
      </c>
      <c r="BB6" s="280">
        <v>4.4000000000000004</v>
      </c>
      <c r="BC6" s="226">
        <v>15.370999407999999</v>
      </c>
      <c r="BD6" s="278">
        <v>4.1051981819999988</v>
      </c>
      <c r="BE6" s="279">
        <v>3.77</v>
      </c>
      <c r="BF6" s="279">
        <v>3.59</v>
      </c>
      <c r="BG6" s="280">
        <v>3.69</v>
      </c>
      <c r="BH6" s="226">
        <v>19.39</v>
      </c>
      <c r="BI6" s="278">
        <v>5.1100000000000003</v>
      </c>
      <c r="BJ6" s="279">
        <v>4.53</v>
      </c>
      <c r="BK6" s="279">
        <v>4.5999999999999996</v>
      </c>
      <c r="BL6" s="280">
        <v>5.15</v>
      </c>
    </row>
    <row r="7" spans="2:64" ht="30" customHeight="1">
      <c r="B7" s="335"/>
      <c r="C7" s="227" t="s">
        <v>35</v>
      </c>
      <c r="D7" s="228" t="s">
        <v>3</v>
      </c>
      <c r="E7" s="386">
        <f t="shared" si="0"/>
        <v>1.167</v>
      </c>
      <c r="F7" s="503"/>
      <c r="G7" s="386">
        <f>SUM(G8:G10)</f>
        <v>0.28699999999999998</v>
      </c>
      <c r="H7" s="503">
        <v>0.34</v>
      </c>
      <c r="I7" s="503">
        <v>0.54</v>
      </c>
      <c r="J7" s="386">
        <f t="shared" si="1"/>
        <v>1.6743999999999999</v>
      </c>
      <c r="K7" s="386">
        <v>0.50600000000000001</v>
      </c>
      <c r="L7" s="386">
        <f>0.24+0.06-0.005</f>
        <v>0.29499999999999998</v>
      </c>
      <c r="M7" s="386">
        <f>0.178+0.123+0.007+0.0354</f>
        <v>0.34339999999999998</v>
      </c>
      <c r="N7" s="503">
        <v>0.53</v>
      </c>
      <c r="O7" s="386">
        <f>SUM(P7:S7)+0.01</f>
        <v>1.5707000000000002</v>
      </c>
      <c r="P7" s="386">
        <v>0.36070000000000002</v>
      </c>
      <c r="Q7" s="503">
        <v>0.28000000000000003</v>
      </c>
      <c r="R7" s="503">
        <v>0.38</v>
      </c>
      <c r="S7" s="386">
        <v>0.54</v>
      </c>
      <c r="T7" s="389">
        <f t="shared" ref="T7" si="5">SUM(U7:X7)</f>
        <v>1.71</v>
      </c>
      <c r="U7" s="503">
        <v>0.48</v>
      </c>
      <c r="V7" s="389">
        <f>1.23-SUM(W7:X7)</f>
        <v>0.33999999999999997</v>
      </c>
      <c r="W7" s="389">
        <f>0.89-X7</f>
        <v>0.41000000000000003</v>
      </c>
      <c r="X7" s="503">
        <v>0.48</v>
      </c>
      <c r="Y7" s="386">
        <v>1.94</v>
      </c>
      <c r="Z7" s="503">
        <f t="shared" si="4"/>
        <v>0.54999999999999982</v>
      </c>
      <c r="AA7" s="503">
        <v>0.4</v>
      </c>
      <c r="AB7" s="503">
        <v>0.42</v>
      </c>
      <c r="AC7" s="491">
        <v>0.56999999999999995</v>
      </c>
      <c r="AD7" s="487">
        <v>1.3816017022450002</v>
      </c>
      <c r="AE7" s="386">
        <v>0.40719917004499989</v>
      </c>
      <c r="AF7" s="386">
        <v>0.28999999999999998</v>
      </c>
      <c r="AG7" s="386">
        <v>0.3</v>
      </c>
      <c r="AH7" s="283">
        <v>0.39</v>
      </c>
      <c r="AI7" s="480">
        <v>0.97</v>
      </c>
      <c r="AJ7" s="310">
        <v>0.28000000000000003</v>
      </c>
      <c r="AK7" s="310">
        <v>0.18</v>
      </c>
      <c r="AL7" s="281">
        <v>0.26600000000000001</v>
      </c>
      <c r="AM7" s="283">
        <v>0.24</v>
      </c>
      <c r="AN7" s="229">
        <f t="shared" ref="AN7" si="6">SUM(AN8:AN10)</f>
        <v>1.2999999999999998</v>
      </c>
      <c r="AO7" s="281">
        <v>0.35999999999999988</v>
      </c>
      <c r="AP7" s="282">
        <v>0.27999999999999992</v>
      </c>
      <c r="AQ7" s="282">
        <v>0.33</v>
      </c>
      <c r="AR7" s="283">
        <f>SUM(AR8:AR10)</f>
        <v>0.32791900000000002</v>
      </c>
      <c r="AS7" s="229">
        <f t="shared" ref="AS7" si="7">SUM(AS8:AS10)</f>
        <v>1.3220000000000001</v>
      </c>
      <c r="AT7" s="281">
        <v>0.32200000000000006</v>
      </c>
      <c r="AU7" s="282">
        <v>0.22999999999999998</v>
      </c>
      <c r="AV7" s="282">
        <v>0.36000000000000004</v>
      </c>
      <c r="AW7" s="283">
        <v>0.41</v>
      </c>
      <c r="AX7" s="229">
        <v>1.63</v>
      </c>
      <c r="AY7" s="281">
        <v>0.42999999999999994</v>
      </c>
      <c r="AZ7" s="282">
        <v>0.22999999999999998</v>
      </c>
      <c r="BA7" s="282">
        <v>0.44</v>
      </c>
      <c r="BB7" s="283">
        <v>0.54</v>
      </c>
      <c r="BC7" s="229">
        <v>1.7895214260000003</v>
      </c>
      <c r="BD7" s="281">
        <v>0.46353000700000035</v>
      </c>
      <c r="BE7" s="282">
        <v>0.42</v>
      </c>
      <c r="BF7" s="282">
        <v>0.44</v>
      </c>
      <c r="BG7" s="283">
        <v>0.47</v>
      </c>
      <c r="BH7" s="229">
        <v>1.38</v>
      </c>
      <c r="BI7" s="281">
        <v>0.47</v>
      </c>
      <c r="BJ7" s="282">
        <v>0.31</v>
      </c>
      <c r="BK7" s="282">
        <v>0.32</v>
      </c>
      <c r="BL7" s="283">
        <v>0.28000000000000003</v>
      </c>
    </row>
    <row r="8" spans="2:64" ht="23.25" customHeight="1">
      <c r="B8" s="335"/>
      <c r="C8" s="230" t="s">
        <v>36</v>
      </c>
      <c r="D8" s="231" t="s">
        <v>3</v>
      </c>
      <c r="E8" s="387">
        <f t="shared" si="0"/>
        <v>9.0000000000000011E-2</v>
      </c>
      <c r="F8" s="504"/>
      <c r="G8" s="387">
        <v>0</v>
      </c>
      <c r="H8" s="504">
        <v>0.02</v>
      </c>
      <c r="I8" s="504">
        <v>7.0000000000000007E-2</v>
      </c>
      <c r="J8" s="387">
        <f t="shared" si="1"/>
        <v>0.21139999999999998</v>
      </c>
      <c r="K8" s="387">
        <v>0.06</v>
      </c>
      <c r="L8" s="504">
        <v>5.6000000000000001E-2</v>
      </c>
      <c r="M8" s="387">
        <v>3.5400000000000001E-2</v>
      </c>
      <c r="N8" s="504">
        <v>0.06</v>
      </c>
      <c r="O8" s="387">
        <f t="shared" si="2"/>
        <v>0.33599999999999997</v>
      </c>
      <c r="P8" s="387">
        <v>0.06</v>
      </c>
      <c r="Q8" s="387">
        <v>6.4000000000000001E-2</v>
      </c>
      <c r="R8" s="387">
        <v>9.1999999999999998E-2</v>
      </c>
      <c r="S8" s="387">
        <v>0.12</v>
      </c>
      <c r="T8" s="390">
        <f t="shared" si="3"/>
        <v>0.43</v>
      </c>
      <c r="U8" s="504">
        <v>0.14000000000000001</v>
      </c>
      <c r="V8" s="390">
        <f t="shared" ref="V8" si="8">0.29-SUM(W8:X8)</f>
        <v>6.9999999999999979E-2</v>
      </c>
      <c r="W8" s="390">
        <f>0.22-X8</f>
        <v>7.9999999999999988E-2</v>
      </c>
      <c r="X8" s="504">
        <v>0.14000000000000001</v>
      </c>
      <c r="Y8" s="387">
        <v>0.56999999999999995</v>
      </c>
      <c r="Z8" s="504">
        <f t="shared" si="4"/>
        <v>0.17999999999999994</v>
      </c>
      <c r="AA8" s="504">
        <v>0.15</v>
      </c>
      <c r="AB8" s="504">
        <v>0.13</v>
      </c>
      <c r="AC8" s="492">
        <v>0.11</v>
      </c>
      <c r="AD8" s="488">
        <v>0.34162987124499994</v>
      </c>
      <c r="AE8" s="387">
        <v>7.3611050044999987E-2</v>
      </c>
      <c r="AF8" s="387">
        <v>0.1</v>
      </c>
      <c r="AG8" s="387">
        <v>0.08</v>
      </c>
      <c r="AH8" s="286">
        <v>0.09</v>
      </c>
      <c r="AI8" s="481">
        <v>0.25</v>
      </c>
      <c r="AJ8" s="311">
        <v>0.1</v>
      </c>
      <c r="AK8" s="311">
        <v>0.04</v>
      </c>
      <c r="AL8" s="284">
        <v>0.09</v>
      </c>
      <c r="AM8" s="286">
        <v>2.3E-2</v>
      </c>
      <c r="AN8" s="232">
        <v>0.34799999999999998</v>
      </c>
      <c r="AO8" s="284">
        <v>5.7999999999999996E-2</v>
      </c>
      <c r="AP8" s="285">
        <v>0.10999999999999999</v>
      </c>
      <c r="AQ8" s="285">
        <v>7.9999999999999988E-2</v>
      </c>
      <c r="AR8" s="286">
        <v>0.1</v>
      </c>
      <c r="AS8" s="233">
        <v>0.496</v>
      </c>
      <c r="AT8" s="284">
        <v>4.5999999999999985E-2</v>
      </c>
      <c r="AU8" s="285">
        <v>8.0000000000000016E-2</v>
      </c>
      <c r="AV8" s="285">
        <v>0.16999999999999998</v>
      </c>
      <c r="AW8" s="286">
        <v>0.2</v>
      </c>
      <c r="AX8" s="272">
        <v>0.81799999999999995</v>
      </c>
      <c r="AY8" s="284">
        <v>0.20799999999999996</v>
      </c>
      <c r="AZ8" s="285">
        <v>9.9999999999999978E-2</v>
      </c>
      <c r="BA8" s="285">
        <v>0.22000000000000003</v>
      </c>
      <c r="BB8" s="286">
        <v>0.28999999999999998</v>
      </c>
      <c r="BC8" s="272">
        <v>1.0375974620000001</v>
      </c>
      <c r="BD8" s="284">
        <v>0.27745330400000012</v>
      </c>
      <c r="BE8" s="285">
        <v>0.22</v>
      </c>
      <c r="BF8" s="285">
        <v>0.26</v>
      </c>
      <c r="BG8" s="286">
        <v>0.27</v>
      </c>
      <c r="BH8" s="272">
        <v>0.77</v>
      </c>
      <c r="BI8" s="284">
        <v>0.27</v>
      </c>
      <c r="BJ8" s="285">
        <v>0.18</v>
      </c>
      <c r="BK8" s="285">
        <v>0.15</v>
      </c>
      <c r="BL8" s="286">
        <v>0.16</v>
      </c>
    </row>
    <row r="9" spans="2:64" ht="22.5" customHeight="1">
      <c r="B9" s="335"/>
      <c r="C9" s="230" t="s">
        <v>37</v>
      </c>
      <c r="D9" s="231" t="s">
        <v>3</v>
      </c>
      <c r="E9" s="387">
        <f t="shared" si="0"/>
        <v>0.27200000000000002</v>
      </c>
      <c r="F9" s="504"/>
      <c r="G9" s="387">
        <v>5.1999999999999998E-2</v>
      </c>
      <c r="H9" s="504">
        <v>0.08</v>
      </c>
      <c r="I9" s="387">
        <v>0.14000000000000001</v>
      </c>
      <c r="J9" s="387">
        <f t="shared" si="1"/>
        <v>0.442</v>
      </c>
      <c r="K9" s="387">
        <v>0.11</v>
      </c>
      <c r="L9" s="504">
        <v>7.5999999999999998E-2</v>
      </c>
      <c r="M9" s="387">
        <v>0.123</v>
      </c>
      <c r="N9" s="387">
        <v>0.13300000000000001</v>
      </c>
      <c r="O9" s="387">
        <f t="shared" si="2"/>
        <v>0.32400000000000001</v>
      </c>
      <c r="P9" s="606">
        <v>6.6000000000000003E-2</v>
      </c>
      <c r="Q9" s="387">
        <v>5.8000000000000003E-2</v>
      </c>
      <c r="R9" s="387">
        <v>0.09</v>
      </c>
      <c r="S9" s="387">
        <v>0.11</v>
      </c>
      <c r="T9" s="390">
        <f t="shared" si="3"/>
        <v>0.42</v>
      </c>
      <c r="U9" s="504">
        <v>0.06</v>
      </c>
      <c r="V9" s="390">
        <f>0.36-SUM(W9:X9)</f>
        <v>0.11157</v>
      </c>
      <c r="W9" s="497">
        <v>0.13</v>
      </c>
      <c r="X9" s="492">
        <v>0.11842999999999999</v>
      </c>
      <c r="Y9" s="387">
        <v>0.4</v>
      </c>
      <c r="Z9" s="504">
        <f t="shared" si="4"/>
        <v>0.1100000000000001</v>
      </c>
      <c r="AA9" s="387">
        <f>0.29-SUM(AB9:AC9)</f>
        <v>-1.0000000000000064E-2</v>
      </c>
      <c r="AB9" s="492">
        <v>0.2</v>
      </c>
      <c r="AC9" s="492">
        <v>0.1</v>
      </c>
      <c r="AD9" s="488">
        <v>0.36198740600000001</v>
      </c>
      <c r="AE9" s="387">
        <v>5.9641453999999969E-2</v>
      </c>
      <c r="AF9" s="387">
        <v>0.05</v>
      </c>
      <c r="AG9" s="387">
        <v>0.13</v>
      </c>
      <c r="AH9" s="286">
        <v>0.12</v>
      </c>
      <c r="AI9" s="481">
        <v>0.31</v>
      </c>
      <c r="AJ9" s="311">
        <v>0.05</v>
      </c>
      <c r="AK9" s="311">
        <v>0.06</v>
      </c>
      <c r="AL9" s="284">
        <v>8.3000000000000004E-2</v>
      </c>
      <c r="AM9" s="286">
        <v>0.107</v>
      </c>
      <c r="AN9" s="232">
        <v>0.433</v>
      </c>
      <c r="AO9" s="284">
        <v>0.13300000000000001</v>
      </c>
      <c r="AP9" s="285">
        <v>0.08</v>
      </c>
      <c r="AQ9" s="285">
        <v>0.129389</v>
      </c>
      <c r="AR9" s="286">
        <v>0.10061100000000001</v>
      </c>
      <c r="AS9" s="233">
        <v>0.38300000000000001</v>
      </c>
      <c r="AT9" s="284">
        <v>0.123</v>
      </c>
      <c r="AU9" s="285">
        <v>0.08</v>
      </c>
      <c r="AV9" s="285">
        <v>0.1</v>
      </c>
      <c r="AW9" s="286">
        <v>0.09</v>
      </c>
      <c r="AX9" s="272">
        <v>0.316</v>
      </c>
      <c r="AY9" s="284">
        <v>0.06</v>
      </c>
      <c r="AZ9" s="285">
        <v>3.5000000000000003E-2</v>
      </c>
      <c r="BA9" s="285">
        <v>0.110348</v>
      </c>
      <c r="BB9" s="286">
        <v>0.11</v>
      </c>
      <c r="BC9" s="272">
        <v>0.37839795000000009</v>
      </c>
      <c r="BD9" s="284">
        <v>8.567395000000011E-2</v>
      </c>
      <c r="BE9" s="285">
        <v>0.12</v>
      </c>
      <c r="BF9" s="285">
        <v>0.1</v>
      </c>
      <c r="BG9" s="286">
        <v>0.2</v>
      </c>
      <c r="BH9" s="272">
        <v>0.37</v>
      </c>
      <c r="BI9" s="284">
        <v>7.0000000000000007E-2</v>
      </c>
      <c r="BJ9" s="285">
        <v>7.0000000000000007E-2</v>
      </c>
      <c r="BK9" s="285">
        <v>0.14000000000000001</v>
      </c>
      <c r="BL9" s="286">
        <v>0.09</v>
      </c>
    </row>
    <row r="10" spans="2:64" ht="24" customHeight="1">
      <c r="B10" s="335"/>
      <c r="C10" s="234" t="s">
        <v>38</v>
      </c>
      <c r="D10" s="235" t="s">
        <v>3</v>
      </c>
      <c r="E10" s="388">
        <f t="shared" si="0"/>
        <v>0.78600000000000003</v>
      </c>
      <c r="F10" s="505"/>
      <c r="G10" s="388">
        <v>0.23499999999999999</v>
      </c>
      <c r="H10" s="505">
        <v>0.22</v>
      </c>
      <c r="I10" s="388">
        <v>0.33100000000000002</v>
      </c>
      <c r="J10" s="388">
        <f t="shared" si="1"/>
        <v>1.0089999999999999</v>
      </c>
      <c r="K10" s="388">
        <v>0.34</v>
      </c>
      <c r="L10" s="505">
        <v>0.16</v>
      </c>
      <c r="M10" s="388">
        <v>0.17799999999999999</v>
      </c>
      <c r="N10" s="388">
        <v>0.33100000000000002</v>
      </c>
      <c r="O10" s="388">
        <f t="shared" si="2"/>
        <v>0.88600000000000012</v>
      </c>
      <c r="P10" s="388">
        <v>0.23</v>
      </c>
      <c r="Q10" s="388">
        <v>0.154</v>
      </c>
      <c r="R10" s="388">
        <v>0.186</v>
      </c>
      <c r="S10" s="388">
        <v>0.316</v>
      </c>
      <c r="T10" s="391">
        <f t="shared" si="3"/>
        <v>0.85000000000000009</v>
      </c>
      <c r="U10" s="505">
        <v>0.28000000000000003</v>
      </c>
      <c r="V10" s="391">
        <f>0.57-SUM(W10:X10)</f>
        <v>0.15456999999999999</v>
      </c>
      <c r="W10" s="498">
        <v>0.19</v>
      </c>
      <c r="X10" s="493">
        <v>0.22542999999999999</v>
      </c>
      <c r="Y10" s="388">
        <v>0.97</v>
      </c>
      <c r="Z10" s="505">
        <f t="shared" si="4"/>
        <v>0.36</v>
      </c>
      <c r="AA10" s="388">
        <v>0.15</v>
      </c>
      <c r="AB10" s="493">
        <v>0.1</v>
      </c>
      <c r="AC10" s="493">
        <v>0.36</v>
      </c>
      <c r="AD10" s="489">
        <v>0.67798442499999989</v>
      </c>
      <c r="AE10" s="388">
        <v>0.27394666599999995</v>
      </c>
      <c r="AF10" s="388">
        <v>0.13</v>
      </c>
      <c r="AG10" s="388">
        <v>0.1</v>
      </c>
      <c r="AH10" s="289">
        <v>0.17</v>
      </c>
      <c r="AI10" s="482">
        <v>0.41</v>
      </c>
      <c r="AJ10" s="312">
        <v>0.13</v>
      </c>
      <c r="AK10" s="312">
        <v>0.08</v>
      </c>
      <c r="AL10" s="287">
        <v>9.2999999999999999E-2</v>
      </c>
      <c r="AM10" s="289">
        <v>0.11</v>
      </c>
      <c r="AN10" s="236">
        <v>0.51900000000000002</v>
      </c>
      <c r="AO10" s="287">
        <v>0.17899999999999999</v>
      </c>
      <c r="AP10" s="288">
        <v>0.1</v>
      </c>
      <c r="AQ10" s="288">
        <v>0.122692</v>
      </c>
      <c r="AR10" s="289">
        <v>0.127308</v>
      </c>
      <c r="AS10" s="237">
        <v>0.443</v>
      </c>
      <c r="AT10" s="287">
        <v>0.15300000000000002</v>
      </c>
      <c r="AU10" s="288">
        <v>0.08</v>
      </c>
      <c r="AV10" s="288">
        <v>0.09</v>
      </c>
      <c r="AW10" s="289">
        <v>0.13</v>
      </c>
      <c r="AX10" s="273">
        <v>0.495</v>
      </c>
      <c r="AY10" s="287">
        <v>0.16199999999999998</v>
      </c>
      <c r="AZ10" s="288">
        <v>9.2000000000000026E-2</v>
      </c>
      <c r="BA10" s="288">
        <v>0.102116</v>
      </c>
      <c r="BB10" s="289">
        <v>0.14000000000000001</v>
      </c>
      <c r="BC10" s="273">
        <v>0.37352601400000002</v>
      </c>
      <c r="BD10" s="287">
        <v>0.10040269900000004</v>
      </c>
      <c r="BE10" s="288">
        <v>7.0000000000000007E-2</v>
      </c>
      <c r="BF10" s="288">
        <v>0.08</v>
      </c>
      <c r="BG10" s="289">
        <v>0.13</v>
      </c>
      <c r="BH10" s="273">
        <v>0.24</v>
      </c>
      <c r="BI10" s="287">
        <v>0.13</v>
      </c>
      <c r="BJ10" s="288">
        <v>0.06</v>
      </c>
      <c r="BK10" s="288">
        <v>0.02</v>
      </c>
      <c r="BL10" s="289">
        <v>0.03</v>
      </c>
    </row>
    <row r="11" spans="2:64" ht="30" customHeight="1">
      <c r="B11" s="335"/>
      <c r="C11" s="224" t="s">
        <v>39</v>
      </c>
      <c r="D11" s="225" t="s">
        <v>34</v>
      </c>
      <c r="E11" s="385">
        <f t="shared" si="0"/>
        <v>6.1819999999999995</v>
      </c>
      <c r="F11" s="404"/>
      <c r="G11" s="385">
        <v>0.55900000000000005</v>
      </c>
      <c r="H11" s="404">
        <v>1.2569999999999999</v>
      </c>
      <c r="I11" s="385">
        <v>4.3659999999999997</v>
      </c>
      <c r="J11" s="385">
        <f t="shared" si="1"/>
        <v>10.347999999999999</v>
      </c>
      <c r="K11" s="385">
        <v>3.62</v>
      </c>
      <c r="L11" s="404">
        <v>0.51900000000000002</v>
      </c>
      <c r="M11" s="404">
        <v>1.7889999999999999</v>
      </c>
      <c r="N11" s="404">
        <v>4.42</v>
      </c>
      <c r="O11" s="385">
        <f t="shared" si="2"/>
        <v>10.54</v>
      </c>
      <c r="P11" s="385">
        <v>3.63</v>
      </c>
      <c r="Q11" s="404">
        <v>0.71</v>
      </c>
      <c r="R11" s="404">
        <v>1.68</v>
      </c>
      <c r="S11" s="385">
        <v>4.5199999999999996</v>
      </c>
      <c r="T11" s="522">
        <f t="shared" si="3"/>
        <v>12</v>
      </c>
      <c r="U11" s="404">
        <v>3.99</v>
      </c>
      <c r="V11" s="404">
        <v>0.79</v>
      </c>
      <c r="W11" s="522">
        <f>7.22-X11</f>
        <v>2.0699999999999994</v>
      </c>
      <c r="X11" s="404">
        <v>5.15</v>
      </c>
      <c r="Y11" s="385">
        <v>11.63</v>
      </c>
      <c r="Z11" s="404">
        <f t="shared" si="4"/>
        <v>4.120000000000001</v>
      </c>
      <c r="AA11" s="404">
        <v>0.82</v>
      </c>
      <c r="AB11" s="404">
        <v>1.73</v>
      </c>
      <c r="AC11" s="490">
        <v>4.96</v>
      </c>
      <c r="AD11" s="486">
        <v>10.85022220980645</v>
      </c>
      <c r="AE11" s="385">
        <v>3.7053466569999998</v>
      </c>
      <c r="AF11" s="385">
        <v>0.73</v>
      </c>
      <c r="AG11" s="385">
        <v>1.66</v>
      </c>
      <c r="AH11" s="280">
        <v>4.76</v>
      </c>
      <c r="AI11" s="479">
        <v>11.29</v>
      </c>
      <c r="AJ11" s="309">
        <v>3.86</v>
      </c>
      <c r="AK11" s="309">
        <v>0.7</v>
      </c>
      <c r="AL11" s="278">
        <v>1.05</v>
      </c>
      <c r="AM11" s="280">
        <v>5.68</v>
      </c>
      <c r="AN11" s="226">
        <v>12.2</v>
      </c>
      <c r="AO11" s="278">
        <v>4.2899999999999991</v>
      </c>
      <c r="AP11" s="279">
        <v>0.82000000000000028</v>
      </c>
      <c r="AQ11" s="279">
        <v>1.8</v>
      </c>
      <c r="AR11" s="280">
        <v>5.3</v>
      </c>
      <c r="AS11" s="226">
        <v>11.52</v>
      </c>
      <c r="AT11" s="278">
        <v>4.5199999999999996</v>
      </c>
      <c r="AU11" s="279">
        <v>0.57000000000000028</v>
      </c>
      <c r="AV11" s="279">
        <v>1.5899999999999999</v>
      </c>
      <c r="AW11" s="280">
        <v>4.84</v>
      </c>
      <c r="AX11" s="226">
        <v>11.51</v>
      </c>
      <c r="AY11" s="278">
        <v>3.92</v>
      </c>
      <c r="AZ11" s="279">
        <v>0.75</v>
      </c>
      <c r="BA11" s="279">
        <v>1.67</v>
      </c>
      <c r="BB11" s="280">
        <v>5.17</v>
      </c>
      <c r="BC11" s="226">
        <v>13.413327984875172</v>
      </c>
      <c r="BD11" s="278">
        <v>4.6377297848751731</v>
      </c>
      <c r="BE11" s="279">
        <v>0.95</v>
      </c>
      <c r="BF11" s="279">
        <v>1.9</v>
      </c>
      <c r="BG11" s="280">
        <v>5.92</v>
      </c>
      <c r="BH11" s="226">
        <v>15.62</v>
      </c>
      <c r="BI11" s="278">
        <v>5.03</v>
      </c>
      <c r="BJ11" s="279">
        <v>1.1599999999999999</v>
      </c>
      <c r="BK11" s="279">
        <v>1.94</v>
      </c>
      <c r="BL11" s="280">
        <v>7.49</v>
      </c>
    </row>
    <row r="12" spans="2:64" ht="30" customHeight="1">
      <c r="C12" s="224" t="s">
        <v>40</v>
      </c>
      <c r="D12" s="225" t="s">
        <v>3</v>
      </c>
      <c r="E12" s="385">
        <f>SUM(F12:I12)</f>
        <v>38.51</v>
      </c>
      <c r="F12" s="404"/>
      <c r="G12" s="404">
        <v>12.48</v>
      </c>
      <c r="H12" s="404">
        <v>12.38</v>
      </c>
      <c r="I12" s="385">
        <v>13.65</v>
      </c>
      <c r="J12" s="385">
        <f>SUM(K12:N12)</f>
        <v>51.295544999999997</v>
      </c>
      <c r="K12" s="385">
        <v>13.028544999999999</v>
      </c>
      <c r="L12" s="385">
        <v>12.284000000000001</v>
      </c>
      <c r="M12" s="385">
        <v>12.321</v>
      </c>
      <c r="N12" s="385">
        <v>13.662000000000001</v>
      </c>
      <c r="O12" s="385">
        <f>SUM(P12:S12)-0.001</f>
        <v>53.683999999999997</v>
      </c>
      <c r="P12" s="385">
        <v>13.375</v>
      </c>
      <c r="Q12" s="404">
        <v>12.85</v>
      </c>
      <c r="R12" s="404">
        <v>13.2</v>
      </c>
      <c r="S12" s="385">
        <v>14.26</v>
      </c>
      <c r="T12" s="522">
        <f t="shared" si="3"/>
        <v>53.966575999999996</v>
      </c>
      <c r="U12" s="404">
        <v>13.91</v>
      </c>
      <c r="V12" s="522">
        <v>13.299530000000001</v>
      </c>
      <c r="W12" s="522">
        <v>12.967046</v>
      </c>
      <c r="X12" s="404">
        <v>13.79</v>
      </c>
      <c r="Y12" s="385">
        <v>50.26</v>
      </c>
      <c r="Z12" s="404">
        <f t="shared" si="4"/>
        <v>13.32</v>
      </c>
      <c r="AA12" s="404">
        <v>12.34</v>
      </c>
      <c r="AB12" s="404">
        <v>11.35</v>
      </c>
      <c r="AC12" s="490">
        <v>13.25</v>
      </c>
      <c r="AD12" s="485">
        <v>51.73</v>
      </c>
      <c r="AE12" s="404">
        <v>12.99</v>
      </c>
      <c r="AF12" s="385">
        <v>12.66</v>
      </c>
      <c r="AG12" s="385">
        <v>12.54</v>
      </c>
      <c r="AH12" s="280">
        <v>13.54</v>
      </c>
      <c r="AI12" s="479">
        <v>51.97</v>
      </c>
      <c r="AJ12" s="309">
        <v>13.13</v>
      </c>
      <c r="AK12" s="309">
        <v>12.83</v>
      </c>
      <c r="AL12" s="278">
        <v>12.59</v>
      </c>
      <c r="AM12" s="280">
        <v>13.42</v>
      </c>
      <c r="AN12" s="226">
        <v>51.37</v>
      </c>
      <c r="AO12" s="278">
        <v>13.059999999999995</v>
      </c>
      <c r="AP12" s="279">
        <v>12.610000000000003</v>
      </c>
      <c r="AQ12" s="279">
        <v>12.4</v>
      </c>
      <c r="AR12" s="280">
        <v>13.31</v>
      </c>
      <c r="AS12" s="226">
        <v>49.68</v>
      </c>
      <c r="AT12" s="278">
        <v>12.86</v>
      </c>
      <c r="AU12" s="279">
        <v>12.05</v>
      </c>
      <c r="AV12" s="279">
        <v>12.04</v>
      </c>
      <c r="AW12" s="280">
        <v>12.73</v>
      </c>
      <c r="AX12" s="226">
        <v>49.2</v>
      </c>
      <c r="AY12" s="278">
        <v>12.510000000000005</v>
      </c>
      <c r="AZ12" s="279">
        <v>12.099999999999998</v>
      </c>
      <c r="BA12" s="279">
        <v>12.09</v>
      </c>
      <c r="BB12" s="280">
        <v>12.5</v>
      </c>
      <c r="BC12" s="226">
        <v>47.904408326400002</v>
      </c>
      <c r="BD12" s="278">
        <v>12.162171326399999</v>
      </c>
      <c r="BE12" s="279">
        <v>11.86</v>
      </c>
      <c r="BF12" s="279">
        <v>11.63</v>
      </c>
      <c r="BG12" s="280">
        <v>12.25</v>
      </c>
      <c r="BH12" s="226">
        <v>47.9</v>
      </c>
      <c r="BI12" s="278">
        <v>12.18</v>
      </c>
      <c r="BJ12" s="279">
        <v>11.74</v>
      </c>
      <c r="BK12" s="279">
        <v>11.56</v>
      </c>
      <c r="BL12" s="280">
        <v>12.42</v>
      </c>
    </row>
    <row r="13" spans="2:64" ht="30" customHeight="1">
      <c r="C13" s="224" t="s">
        <v>41</v>
      </c>
      <c r="D13" s="225" t="s">
        <v>3</v>
      </c>
      <c r="E13" s="385">
        <f t="shared" si="0"/>
        <v>19.670000000000002</v>
      </c>
      <c r="F13" s="404"/>
      <c r="G13" s="404">
        <v>6.14</v>
      </c>
      <c r="H13" s="404">
        <v>6.13</v>
      </c>
      <c r="I13" s="385">
        <v>7.4</v>
      </c>
      <c r="J13" s="385">
        <f t="shared" si="1"/>
        <v>30.745000000000001</v>
      </c>
      <c r="K13" s="385">
        <f>-0.02+8.31</f>
        <v>8.2900000000000009</v>
      </c>
      <c r="L13" s="385">
        <v>7.0519999999999996</v>
      </c>
      <c r="M13" s="385">
        <v>7.0369999999999999</v>
      </c>
      <c r="N13" s="385">
        <v>8.3659999999999997</v>
      </c>
      <c r="O13" s="385">
        <f t="shared" si="2"/>
        <v>31.141999999999999</v>
      </c>
      <c r="P13" s="385">
        <v>8.0619999999999994</v>
      </c>
      <c r="Q13" s="404">
        <v>7.12</v>
      </c>
      <c r="R13" s="404">
        <v>7.53</v>
      </c>
      <c r="S13" s="385">
        <v>8.43</v>
      </c>
      <c r="T13" s="522">
        <f t="shared" si="3"/>
        <v>33.408999999999999</v>
      </c>
      <c r="U13" s="385">
        <v>8.8889999999999993</v>
      </c>
      <c r="V13" s="404">
        <v>7.89</v>
      </c>
      <c r="W13" s="522">
        <f>16.63-X13</f>
        <v>7.8599999999999994</v>
      </c>
      <c r="X13" s="404">
        <v>8.77</v>
      </c>
      <c r="Y13" s="385">
        <v>32.43</v>
      </c>
      <c r="Z13" s="404">
        <f t="shared" si="4"/>
        <v>8.7199999999999989</v>
      </c>
      <c r="AA13" s="404">
        <v>7.72</v>
      </c>
      <c r="AB13" s="404">
        <v>7.13</v>
      </c>
      <c r="AC13" s="490">
        <v>8.86</v>
      </c>
      <c r="AD13" s="485">
        <v>33.729999999999997</v>
      </c>
      <c r="AE13" s="404">
        <v>8.7100000000000009</v>
      </c>
      <c r="AF13" s="385">
        <v>8</v>
      </c>
      <c r="AG13" s="385">
        <v>8.1</v>
      </c>
      <c r="AH13" s="280">
        <v>8.93</v>
      </c>
      <c r="AI13" s="479">
        <v>34.520000000000003</v>
      </c>
      <c r="AJ13" s="309">
        <v>9.15</v>
      </c>
      <c r="AK13" s="309">
        <v>8.17</v>
      </c>
      <c r="AL13" s="278">
        <v>7.93</v>
      </c>
      <c r="AM13" s="280">
        <v>9.2781699999999994</v>
      </c>
      <c r="AN13" s="226">
        <v>34.94</v>
      </c>
      <c r="AO13" s="278">
        <v>9.39</v>
      </c>
      <c r="AP13" s="279">
        <v>8.3499999999999979</v>
      </c>
      <c r="AQ13" s="279">
        <v>8.08</v>
      </c>
      <c r="AR13" s="280">
        <v>9.1199999999999992</v>
      </c>
      <c r="AS13" s="226">
        <v>32.04</v>
      </c>
      <c r="AT13" s="278">
        <v>8.8499999999999979</v>
      </c>
      <c r="AU13" s="279">
        <v>7.6100000000000012</v>
      </c>
      <c r="AV13" s="279">
        <v>7.2200000000000006</v>
      </c>
      <c r="AW13" s="280">
        <v>8.3699999999999992</v>
      </c>
      <c r="AX13" s="226">
        <v>35.94</v>
      </c>
      <c r="AY13" s="278">
        <v>9.48</v>
      </c>
      <c r="AZ13" s="279">
        <v>8.43</v>
      </c>
      <c r="BA13" s="279">
        <v>8.58</v>
      </c>
      <c r="BB13" s="280">
        <v>9.0500000000000007</v>
      </c>
      <c r="BC13" s="226">
        <v>36.433367670000003</v>
      </c>
      <c r="BD13" s="278">
        <v>9.6566086700000042</v>
      </c>
      <c r="BE13" s="279">
        <v>8.58</v>
      </c>
      <c r="BF13" s="279">
        <v>8.5399999999999991</v>
      </c>
      <c r="BG13" s="280">
        <v>10.17</v>
      </c>
      <c r="BH13" s="226">
        <v>41.3</v>
      </c>
      <c r="BI13" s="278">
        <v>10.59</v>
      </c>
      <c r="BJ13" s="279">
        <v>9.85</v>
      </c>
      <c r="BK13" s="279">
        <v>9.92</v>
      </c>
      <c r="BL13" s="280">
        <v>10.94</v>
      </c>
    </row>
    <row r="14" spans="2:64" ht="30" customHeight="1">
      <c r="C14" s="224" t="s">
        <v>42</v>
      </c>
      <c r="D14" s="225" t="s">
        <v>45</v>
      </c>
      <c r="E14" s="512" cm="1">
        <f t="array" aca="1" ref="E14" ca="1">INDIRECT(ADDRESS(14,MATCH(E4,$A$4:AW4,0)+5-COUNTA(F14:I14)))</f>
        <v>5967</v>
      </c>
      <c r="F14" s="506"/>
      <c r="G14" s="686">
        <v>5967</v>
      </c>
      <c r="H14" s="506">
        <v>5951</v>
      </c>
      <c r="I14" s="506">
        <v>5941</v>
      </c>
      <c r="J14" s="512" cm="1">
        <f t="array" aca="1" ref="J14" ca="1">INDIRECT(ADDRESS(14,MATCH(J4,$A$4:BB4,0)+5-COUNTA(K14:N14)))</f>
        <v>5925.0079999999998</v>
      </c>
      <c r="K14" s="512">
        <v>5925.0079999999998</v>
      </c>
      <c r="L14" s="506">
        <v>5912</v>
      </c>
      <c r="M14" s="506">
        <v>5893</v>
      </c>
      <c r="N14" s="506">
        <v>5869</v>
      </c>
      <c r="O14" s="512" cm="1">
        <f t="array" aca="1" ref="O14" ca="1">INDIRECT(ADDRESS(14,MATCH(O4,$A$4:BG4,0)+5-COUNTA(P14:S14)))</f>
        <v>5836</v>
      </c>
      <c r="P14" s="506">
        <v>5836</v>
      </c>
      <c r="Q14" s="506">
        <v>5819</v>
      </c>
      <c r="R14" s="506">
        <v>5806</v>
      </c>
      <c r="S14" s="309">
        <v>5793</v>
      </c>
      <c r="T14" s="512" cm="1">
        <f t="array" aca="1" ref="T14" ca="1">INDIRECT(ADDRESS(14,MATCH(T4,$A$4:BL4,0)+5-COUNTA(U14:X14)))</f>
        <v>5777</v>
      </c>
      <c r="U14" s="506">
        <v>5777</v>
      </c>
      <c r="V14" s="506">
        <v>5757</v>
      </c>
      <c r="W14" s="512">
        <v>5740.5829999999996</v>
      </c>
      <c r="X14" s="506">
        <v>5728</v>
      </c>
      <c r="Y14" s="512">
        <v>5715</v>
      </c>
      <c r="Z14" s="506">
        <v>5715</v>
      </c>
      <c r="AA14" s="506">
        <v>5693</v>
      </c>
      <c r="AB14" s="506">
        <v>5693</v>
      </c>
      <c r="AC14" s="494">
        <v>5675</v>
      </c>
      <c r="AD14" s="483">
        <v>5650.8819999999996</v>
      </c>
      <c r="AE14" s="313">
        <v>5650.8819999999996</v>
      </c>
      <c r="AF14" s="313">
        <v>5644</v>
      </c>
      <c r="AG14" s="313">
        <v>5627</v>
      </c>
      <c r="AH14" s="313">
        <v>5612</v>
      </c>
      <c r="AI14" s="483">
        <v>5598</v>
      </c>
      <c r="AJ14" s="313">
        <v>5598</v>
      </c>
      <c r="AK14" s="313">
        <v>5579</v>
      </c>
      <c r="AL14" s="300">
        <v>5563</v>
      </c>
      <c r="AM14" s="302">
        <v>5546</v>
      </c>
      <c r="AN14" s="238">
        <v>5532.6809999999996</v>
      </c>
      <c r="AO14" s="300">
        <v>5532.6809999999996</v>
      </c>
      <c r="AP14" s="301">
        <v>5517</v>
      </c>
      <c r="AQ14" s="301">
        <v>5501</v>
      </c>
      <c r="AR14" s="302">
        <v>5487.4</v>
      </c>
      <c r="AS14" s="238">
        <v>5473.9970000000003</v>
      </c>
      <c r="AT14" s="300">
        <v>5473.9970000000003</v>
      </c>
      <c r="AU14" s="301">
        <v>5458</v>
      </c>
      <c r="AV14" s="301">
        <v>5446</v>
      </c>
      <c r="AW14" s="302">
        <v>5431</v>
      </c>
      <c r="AX14" s="238">
        <v>5418</v>
      </c>
      <c r="AY14" s="300">
        <v>5418</v>
      </c>
      <c r="AZ14" s="301">
        <v>5404</v>
      </c>
      <c r="BA14" s="301">
        <v>5392</v>
      </c>
      <c r="BB14" s="302">
        <v>5383</v>
      </c>
      <c r="BC14" s="238">
        <v>5377.7340000000004</v>
      </c>
      <c r="BD14" s="300">
        <v>5377.7340000000004</v>
      </c>
      <c r="BE14" s="290">
        <v>5369</v>
      </c>
      <c r="BF14" s="290">
        <v>5359</v>
      </c>
      <c r="BG14" s="291">
        <v>5354</v>
      </c>
      <c r="BH14" s="238">
        <v>5334</v>
      </c>
      <c r="BI14" s="300">
        <v>5334</v>
      </c>
      <c r="BJ14" s="290">
        <v>5324</v>
      </c>
      <c r="BK14" s="290">
        <v>5313</v>
      </c>
      <c r="BL14" s="291">
        <v>5307</v>
      </c>
    </row>
    <row r="15" spans="2:64" ht="34.5" customHeight="1">
      <c r="C15" s="220" t="s">
        <v>325</v>
      </c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495"/>
      <c r="AD15" s="484"/>
      <c r="AE15" s="210"/>
      <c r="AF15" s="215"/>
      <c r="AG15" s="215"/>
      <c r="AH15" s="215"/>
      <c r="AI15" s="484"/>
      <c r="AJ15" s="210"/>
      <c r="AK15" s="215"/>
      <c r="AL15" s="215"/>
      <c r="AM15" s="215"/>
      <c r="AN15" s="214"/>
      <c r="AO15" s="215"/>
      <c r="AP15" s="215"/>
      <c r="AQ15" s="211"/>
      <c r="AR15" s="213"/>
      <c r="AS15" s="214"/>
      <c r="AT15" s="215"/>
      <c r="AU15" s="215"/>
      <c r="AV15" s="211"/>
      <c r="AW15" s="213"/>
      <c r="AX15" s="212"/>
      <c r="AY15" s="215"/>
      <c r="AZ15" s="215"/>
      <c r="BA15" s="211"/>
      <c r="BB15" s="213"/>
      <c r="BC15" s="214"/>
      <c r="BD15" s="212"/>
      <c r="BE15" s="212"/>
      <c r="BF15" s="217"/>
      <c r="BG15" s="218"/>
      <c r="BH15" s="246"/>
      <c r="BI15" s="219"/>
      <c r="BJ15" s="219"/>
      <c r="BK15" s="217"/>
      <c r="BL15" s="218"/>
    </row>
    <row r="16" spans="2:64" ht="36" customHeight="1">
      <c r="C16" s="239"/>
      <c r="D16" s="239"/>
      <c r="E16" s="384"/>
      <c r="F16" s="384"/>
      <c r="G16" s="384"/>
      <c r="H16" s="384" t="s">
        <v>892</v>
      </c>
      <c r="I16" s="384" t="s">
        <v>794</v>
      </c>
      <c r="J16" s="384">
        <v>2023</v>
      </c>
      <c r="K16" s="384" t="s">
        <v>795</v>
      </c>
      <c r="L16" s="384" t="s">
        <v>796</v>
      </c>
      <c r="M16" s="384" t="s">
        <v>797</v>
      </c>
      <c r="N16" s="384" t="s">
        <v>794</v>
      </c>
      <c r="O16" s="384">
        <v>2022</v>
      </c>
      <c r="P16" s="384" t="s">
        <v>717</v>
      </c>
      <c r="Q16" s="384" t="s">
        <v>716</v>
      </c>
      <c r="R16" s="384" t="s">
        <v>715</v>
      </c>
      <c r="S16" s="384" t="str">
        <f t="shared" ref="S16:X16" si="9">S4</f>
        <v>Q1 2022</v>
      </c>
      <c r="T16" s="384">
        <f t="shared" si="9"/>
        <v>2021</v>
      </c>
      <c r="U16" s="384" t="str">
        <f t="shared" si="9"/>
        <v>Q4 2021</v>
      </c>
      <c r="V16" s="384" t="str">
        <f t="shared" si="9"/>
        <v>Q3 2021</v>
      </c>
      <c r="W16" s="384" t="str">
        <f t="shared" si="9"/>
        <v xml:space="preserve"> Q2 2021</v>
      </c>
      <c r="X16" s="384" t="str">
        <f t="shared" si="9"/>
        <v xml:space="preserve"> Q1 2021</v>
      </c>
      <c r="Y16" s="384">
        <v>2020</v>
      </c>
      <c r="Z16" s="384" t="s">
        <v>615</v>
      </c>
      <c r="AA16" s="384" t="str">
        <f>AA4</f>
        <v>Q3 2020</v>
      </c>
      <c r="AB16" s="277" t="s">
        <v>585</v>
      </c>
      <c r="AC16" s="277" t="s">
        <v>578</v>
      </c>
      <c r="AD16" s="240">
        <v>2019</v>
      </c>
      <c r="AE16" s="384" t="s">
        <v>567</v>
      </c>
      <c r="AF16" s="384" t="s">
        <v>553</v>
      </c>
      <c r="AG16" s="384" t="s">
        <v>539</v>
      </c>
      <c r="AH16" s="277" t="s">
        <v>530</v>
      </c>
      <c r="AI16" s="240">
        <v>2018</v>
      </c>
      <c r="AJ16" s="308" t="s">
        <v>517</v>
      </c>
      <c r="AK16" s="308" t="s">
        <v>502</v>
      </c>
      <c r="AL16" s="274" t="s">
        <v>458</v>
      </c>
      <c r="AM16" s="277" t="s">
        <v>440</v>
      </c>
      <c r="AN16" s="240">
        <v>2017</v>
      </c>
      <c r="AO16" s="274" t="s">
        <v>441</v>
      </c>
      <c r="AP16" s="275" t="s">
        <v>442</v>
      </c>
      <c r="AQ16" s="276" t="s">
        <v>443</v>
      </c>
      <c r="AR16" s="277" t="s">
        <v>444</v>
      </c>
      <c r="AS16" s="240">
        <v>2016</v>
      </c>
      <c r="AT16" s="274" t="s">
        <v>445</v>
      </c>
      <c r="AU16" s="275" t="s">
        <v>446</v>
      </c>
      <c r="AV16" s="276" t="s">
        <v>447</v>
      </c>
      <c r="AW16" s="277" t="s">
        <v>448</v>
      </c>
      <c r="AX16" s="240">
        <v>2015</v>
      </c>
      <c r="AY16" s="274" t="s">
        <v>449</v>
      </c>
      <c r="AZ16" s="275" t="s">
        <v>328</v>
      </c>
      <c r="BA16" s="276" t="s">
        <v>450</v>
      </c>
      <c r="BB16" s="277" t="s">
        <v>451</v>
      </c>
      <c r="BC16" s="240">
        <v>2014</v>
      </c>
      <c r="BD16" s="274" t="s">
        <v>452</v>
      </c>
      <c r="BE16" s="275" t="s">
        <v>294</v>
      </c>
      <c r="BF16" s="276" t="s">
        <v>453</v>
      </c>
      <c r="BG16" s="277" t="s">
        <v>454</v>
      </c>
      <c r="BH16" s="240">
        <v>2013</v>
      </c>
      <c r="BI16" s="274" t="s">
        <v>455</v>
      </c>
      <c r="BJ16" s="275" t="s">
        <v>456</v>
      </c>
      <c r="BK16" s="276" t="s">
        <v>297</v>
      </c>
      <c r="BL16" s="277" t="s">
        <v>457</v>
      </c>
    </row>
    <row r="17" spans="3:64" ht="39" customHeight="1">
      <c r="C17" s="227" t="s">
        <v>43</v>
      </c>
      <c r="D17" s="228" t="s">
        <v>46</v>
      </c>
      <c r="E17" s="503"/>
      <c r="F17" s="503"/>
      <c r="G17" s="503"/>
      <c r="H17" s="503"/>
      <c r="I17" s="503"/>
      <c r="J17" s="503"/>
      <c r="K17" s="503"/>
      <c r="L17" s="503"/>
      <c r="M17" s="503"/>
      <c r="N17" s="503"/>
      <c r="O17" s="386">
        <f t="shared" ref="O17:O19" si="10">SUM(P17:S17)</f>
        <v>3.97</v>
      </c>
      <c r="P17" s="386">
        <v>0.505</v>
      </c>
      <c r="Q17" s="386">
        <v>0.7</v>
      </c>
      <c r="R17" s="386">
        <v>1.27</v>
      </c>
      <c r="S17" s="386">
        <v>1.4950000000000001</v>
      </c>
      <c r="T17" s="503">
        <f t="shared" ref="T17:T19" si="11">SUM(U17:X17)</f>
        <v>5.48</v>
      </c>
      <c r="U17" s="503">
        <v>1.49</v>
      </c>
      <c r="V17" s="503">
        <v>1.64</v>
      </c>
      <c r="W17" s="503">
        <f>2.35-X17</f>
        <v>1.1100000000000001</v>
      </c>
      <c r="X17" s="503">
        <v>1.24</v>
      </c>
      <c r="Y17" s="503">
        <v>4.08</v>
      </c>
      <c r="Z17" s="404">
        <f t="shared" ref="Z17:Z19" si="12">Y17-SUM(AA17:AC17)</f>
        <v>1.1099999999999999</v>
      </c>
      <c r="AA17" s="503">
        <v>1.0900000000000001</v>
      </c>
      <c r="AB17" s="503">
        <v>0.99</v>
      </c>
      <c r="AC17" s="496">
        <v>0.89</v>
      </c>
      <c r="AD17" s="487">
        <v>3.8</v>
      </c>
      <c r="AE17" s="386">
        <v>0.83999999999999986</v>
      </c>
      <c r="AF17" s="389">
        <v>0.78</v>
      </c>
      <c r="AG17" s="389">
        <v>0.99</v>
      </c>
      <c r="AH17" s="303">
        <v>1.2</v>
      </c>
      <c r="AI17" s="480">
        <v>4.87</v>
      </c>
      <c r="AJ17" s="332">
        <v>1.33</v>
      </c>
      <c r="AK17" s="314">
        <v>1.04</v>
      </c>
      <c r="AL17" s="294">
        <v>1.07</v>
      </c>
      <c r="AM17" s="303">
        <v>1.43</v>
      </c>
      <c r="AN17" s="241">
        <f t="shared" ref="AN17" si="13">SUM(AN18:AN19)</f>
        <v>6.7715999999999994</v>
      </c>
      <c r="AO17" s="294">
        <v>1.7615999999999996</v>
      </c>
      <c r="AP17" s="295">
        <v>1.4499999999999997</v>
      </c>
      <c r="AQ17" s="295">
        <v>1.77</v>
      </c>
      <c r="AR17" s="303">
        <v>1.79</v>
      </c>
      <c r="AS17" s="241">
        <f t="shared" ref="AS17" si="14">SUM(AS18:AS19)</f>
        <v>6.0625</v>
      </c>
      <c r="AT17" s="294">
        <v>1.9625000000000004</v>
      </c>
      <c r="AU17" s="295">
        <v>1.6399999999999997</v>
      </c>
      <c r="AV17" s="295">
        <v>1.24</v>
      </c>
      <c r="AW17" s="303">
        <v>1.22</v>
      </c>
      <c r="AX17" s="241">
        <v>5.0860000000000003</v>
      </c>
      <c r="AY17" s="294">
        <v>1.4260000000000002</v>
      </c>
      <c r="AZ17" s="295">
        <v>1.37</v>
      </c>
      <c r="BA17" s="295">
        <v>1.1500000000000001</v>
      </c>
      <c r="BB17" s="303">
        <v>1.1399999999999999</v>
      </c>
      <c r="BC17" s="241">
        <v>4.8798987900000004</v>
      </c>
      <c r="BD17" s="294">
        <v>1.3474747900000006</v>
      </c>
      <c r="BE17" s="295">
        <v>1.34</v>
      </c>
      <c r="BF17" s="282">
        <v>1.18</v>
      </c>
      <c r="BG17" s="283">
        <v>1.01</v>
      </c>
      <c r="BH17" s="229">
        <v>5.48</v>
      </c>
      <c r="BI17" s="281">
        <v>1.2</v>
      </c>
      <c r="BJ17" s="282">
        <v>1.33</v>
      </c>
      <c r="BK17" s="282">
        <v>1.45</v>
      </c>
      <c r="BL17" s="283">
        <v>1.51</v>
      </c>
    </row>
    <row r="18" spans="3:64" ht="36.75" customHeight="1">
      <c r="C18" s="242" t="s">
        <v>364</v>
      </c>
      <c r="D18" s="231" t="s">
        <v>46</v>
      </c>
      <c r="E18" s="504"/>
      <c r="F18" s="504"/>
      <c r="G18" s="504"/>
      <c r="H18" s="504"/>
      <c r="I18" s="504"/>
      <c r="J18" s="504"/>
      <c r="K18" s="504"/>
      <c r="L18" s="504"/>
      <c r="M18" s="504"/>
      <c r="N18" s="504"/>
      <c r="O18" s="387">
        <f t="shared" si="10"/>
        <v>2.7</v>
      </c>
      <c r="P18" s="387">
        <v>0.33600000000000002</v>
      </c>
      <c r="Q18" s="387">
        <v>0.51800000000000002</v>
      </c>
      <c r="R18" s="387">
        <v>0.86299999999999999</v>
      </c>
      <c r="S18" s="387">
        <v>0.98299999999999998</v>
      </c>
      <c r="T18" s="387">
        <f t="shared" si="11"/>
        <v>3.6080000000000001</v>
      </c>
      <c r="U18" s="504">
        <v>0.83</v>
      </c>
      <c r="V18" s="387">
        <f>2.778-SUM(W18:X18)</f>
        <v>1.0880000000000001</v>
      </c>
      <c r="W18" s="504">
        <f>1.69-X18</f>
        <v>0.73</v>
      </c>
      <c r="X18" s="504">
        <v>0.96</v>
      </c>
      <c r="Y18" s="504">
        <v>3.27</v>
      </c>
      <c r="Z18" s="404">
        <f t="shared" si="12"/>
        <v>0.9700000000000002</v>
      </c>
      <c r="AA18" s="504">
        <f>2.3-1.47</f>
        <v>0.82999999999999985</v>
      </c>
      <c r="AB18" s="504">
        <f>1.47-0.74</f>
        <v>0.73</v>
      </c>
      <c r="AC18" s="497">
        <v>0.74</v>
      </c>
      <c r="AD18" s="488">
        <v>3</v>
      </c>
      <c r="AE18" s="387">
        <v>0.62000000000000011</v>
      </c>
      <c r="AF18" s="390">
        <v>0.63</v>
      </c>
      <c r="AG18" s="390">
        <v>0.82</v>
      </c>
      <c r="AH18" s="304">
        <v>0.93</v>
      </c>
      <c r="AI18" s="481">
        <v>3.68</v>
      </c>
      <c r="AJ18" s="333">
        <v>1.08</v>
      </c>
      <c r="AK18" s="315">
        <v>0.94</v>
      </c>
      <c r="AL18" s="296">
        <v>0.71</v>
      </c>
      <c r="AM18" s="304">
        <v>0.95</v>
      </c>
      <c r="AN18" s="243">
        <v>4.8895999999999997</v>
      </c>
      <c r="AO18" s="296">
        <v>1.4845999999999999</v>
      </c>
      <c r="AP18" s="297">
        <v>1.18</v>
      </c>
      <c r="AQ18" s="297">
        <v>1.1200000000000001</v>
      </c>
      <c r="AR18" s="304">
        <v>1.29</v>
      </c>
      <c r="AS18" s="243">
        <v>4.657</v>
      </c>
      <c r="AT18" s="296">
        <v>1.4790000000000001</v>
      </c>
      <c r="AU18" s="297">
        <v>1.278</v>
      </c>
      <c r="AV18" s="297">
        <v>0.91799999999999993</v>
      </c>
      <c r="AW18" s="304">
        <v>0.98199999999999998</v>
      </c>
      <c r="AX18" s="243">
        <v>3.76</v>
      </c>
      <c r="AY18" s="296">
        <v>1.0699999999999998</v>
      </c>
      <c r="AZ18" s="297">
        <v>0.98</v>
      </c>
      <c r="BA18" s="297">
        <v>0.876</v>
      </c>
      <c r="BB18" s="304">
        <v>0.83</v>
      </c>
      <c r="BC18" s="243">
        <v>3.5229002200000004</v>
      </c>
      <c r="BD18" s="296">
        <v>0.99129805000000015</v>
      </c>
      <c r="BE18" s="297">
        <v>0.93</v>
      </c>
      <c r="BF18" s="285">
        <v>0.88</v>
      </c>
      <c r="BG18" s="286">
        <v>0.72</v>
      </c>
      <c r="BH18" s="272">
        <v>3.67</v>
      </c>
      <c r="BI18" s="284">
        <v>0.79</v>
      </c>
      <c r="BJ18" s="285">
        <v>0.83</v>
      </c>
      <c r="BK18" s="285">
        <v>0.94</v>
      </c>
      <c r="BL18" s="292">
        <v>1.1100000000000001</v>
      </c>
    </row>
    <row r="19" spans="3:64" ht="37.5" customHeight="1">
      <c r="C19" s="244" t="s">
        <v>363</v>
      </c>
      <c r="D19" s="235" t="s">
        <v>46</v>
      </c>
      <c r="E19" s="505"/>
      <c r="F19" s="505"/>
      <c r="G19" s="505"/>
      <c r="H19" s="505"/>
      <c r="I19" s="505"/>
      <c r="J19" s="505"/>
      <c r="K19" s="505"/>
      <c r="L19" s="505"/>
      <c r="M19" s="505"/>
      <c r="N19" s="505"/>
      <c r="O19" s="388">
        <f t="shared" si="10"/>
        <v>1.2757999999999998</v>
      </c>
      <c r="P19" s="388">
        <v>0.16880000000000001</v>
      </c>
      <c r="Q19" s="388">
        <v>0.184</v>
      </c>
      <c r="R19" s="388">
        <v>0.41</v>
      </c>
      <c r="S19" s="388">
        <v>0.51300000000000001</v>
      </c>
      <c r="T19" s="388">
        <f t="shared" si="11"/>
        <v>1.859</v>
      </c>
      <c r="U19" s="505">
        <v>0.65</v>
      </c>
      <c r="V19" s="388">
        <f>1.209-SUM(W19:X19)</f>
        <v>0.54899999999999993</v>
      </c>
      <c r="W19" s="505">
        <f>W17-W18</f>
        <v>0.38000000000000012</v>
      </c>
      <c r="X19" s="505">
        <v>0.28000000000000003</v>
      </c>
      <c r="Y19" s="505">
        <v>0.81</v>
      </c>
      <c r="Z19" s="404">
        <f t="shared" si="12"/>
        <v>0.13999999999999979</v>
      </c>
      <c r="AA19" s="505">
        <f t="shared" ref="AA19" si="15">AA17-AA18</f>
        <v>0.26000000000000023</v>
      </c>
      <c r="AB19" s="505">
        <f>AB17-AB18</f>
        <v>0.26</v>
      </c>
      <c r="AC19" s="498">
        <v>0.15</v>
      </c>
      <c r="AD19" s="489">
        <v>0.79999999999999982</v>
      </c>
      <c r="AE19" s="388">
        <v>0.21999999999999975</v>
      </c>
      <c r="AF19" s="391">
        <v>0.14000000000000001</v>
      </c>
      <c r="AG19" s="391">
        <v>0.17000000000000004</v>
      </c>
      <c r="AH19" s="305">
        <v>0.27</v>
      </c>
      <c r="AI19" s="482">
        <v>1.19</v>
      </c>
      <c r="AJ19" s="334">
        <v>0.25</v>
      </c>
      <c r="AK19" s="316">
        <v>0.1</v>
      </c>
      <c r="AL19" s="298">
        <v>0.36</v>
      </c>
      <c r="AM19" s="305">
        <v>0.48</v>
      </c>
      <c r="AN19" s="245">
        <v>1.8819999999999999</v>
      </c>
      <c r="AO19" s="298">
        <v>0.27699999999999991</v>
      </c>
      <c r="AP19" s="299">
        <v>0.27</v>
      </c>
      <c r="AQ19" s="299">
        <v>0.64999999999999991</v>
      </c>
      <c r="AR19" s="305">
        <v>0.5</v>
      </c>
      <c r="AS19" s="245">
        <v>1.4055</v>
      </c>
      <c r="AT19" s="298">
        <v>0.48350000000000026</v>
      </c>
      <c r="AU19" s="299">
        <v>0.36199999999999966</v>
      </c>
      <c r="AV19" s="299">
        <v>0.32200000000000006</v>
      </c>
      <c r="AW19" s="305">
        <v>0.23799999999999999</v>
      </c>
      <c r="AX19" s="245">
        <v>1.3260000000000001</v>
      </c>
      <c r="AY19" s="298">
        <v>0.35600000000000009</v>
      </c>
      <c r="AZ19" s="299">
        <v>0.3899999999999999</v>
      </c>
      <c r="BA19" s="299">
        <v>0.27400000000000008</v>
      </c>
      <c r="BB19" s="305">
        <v>0.30999999999999994</v>
      </c>
      <c r="BC19" s="245">
        <v>1.3569985699999998</v>
      </c>
      <c r="BD19" s="298">
        <v>0.35617672999999983</v>
      </c>
      <c r="BE19" s="299">
        <v>0.42</v>
      </c>
      <c r="BF19" s="288">
        <v>0.3</v>
      </c>
      <c r="BG19" s="289">
        <v>0.28999999999999998</v>
      </c>
      <c r="BH19" s="273">
        <v>1.81</v>
      </c>
      <c r="BI19" s="287">
        <v>0.41</v>
      </c>
      <c r="BJ19" s="288">
        <v>0.5</v>
      </c>
      <c r="BK19" s="288">
        <v>0.51</v>
      </c>
      <c r="BL19" s="293">
        <v>0.4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0"/>
  <sheetViews>
    <sheetView topLeftCell="A29" workbookViewId="0">
      <selection activeCell="F58" sqref="F58"/>
    </sheetView>
  </sheetViews>
  <sheetFormatPr defaultColWidth="9.28515625" defaultRowHeight="15"/>
  <cols>
    <col min="1" max="1" width="51.7109375" style="10" customWidth="1"/>
    <col min="2" max="2" width="25.28515625" style="10" customWidth="1"/>
    <col min="3" max="3" width="22.7109375" style="10" customWidth="1"/>
    <col min="4" max="4" width="15.7109375" style="10" customWidth="1"/>
    <col min="5" max="6" width="9.28515625" style="10"/>
    <col min="7" max="7" width="9.7109375" style="10" bestFit="1" customWidth="1"/>
    <col min="8" max="16384" width="9.28515625" style="10"/>
  </cols>
  <sheetData>
    <row r="1" spans="1:5" ht="45" customHeight="1">
      <c r="A1" s="18" t="s">
        <v>330</v>
      </c>
      <c r="B1" s="19"/>
      <c r="C1" s="20"/>
      <c r="D1" s="57"/>
      <c r="E1" s="5"/>
    </row>
    <row r="2" spans="1:5" ht="45">
      <c r="A2" s="21" t="s">
        <v>59</v>
      </c>
      <c r="B2" s="22" t="s">
        <v>54</v>
      </c>
      <c r="C2" s="21" t="s">
        <v>55</v>
      </c>
      <c r="D2" s="21" t="s">
        <v>56</v>
      </c>
    </row>
    <row r="3" spans="1:5">
      <c r="A3" s="23" t="s">
        <v>728</v>
      </c>
      <c r="B3" s="23" t="s">
        <v>66</v>
      </c>
      <c r="C3" s="24">
        <f>C4+C5+C6</f>
        <v>1534</v>
      </c>
      <c r="D3" s="325">
        <v>390.2</v>
      </c>
    </row>
    <row r="4" spans="1:5">
      <c r="A4" s="25" t="s">
        <v>58</v>
      </c>
      <c r="B4" s="7"/>
      <c r="C4" s="317">
        <v>140</v>
      </c>
      <c r="D4" s="326"/>
    </row>
    <row r="5" spans="1:5">
      <c r="A5" s="25" t="s">
        <v>57</v>
      </c>
      <c r="B5" s="7"/>
      <c r="C5" s="318">
        <v>1345</v>
      </c>
      <c r="D5" s="326"/>
    </row>
    <row r="6" spans="1:5">
      <c r="A6" s="518" t="s">
        <v>4</v>
      </c>
      <c r="B6" s="519"/>
      <c r="C6" s="520">
        <v>49</v>
      </c>
      <c r="D6" s="521"/>
    </row>
    <row r="7" spans="1:5">
      <c r="A7" s="23" t="s">
        <v>5</v>
      </c>
      <c r="B7" s="23" t="s">
        <v>66</v>
      </c>
      <c r="C7" s="209">
        <f>C8+C9</f>
        <v>905</v>
      </c>
      <c r="D7" s="325">
        <v>196</v>
      </c>
    </row>
    <row r="8" spans="1:5">
      <c r="A8" s="25" t="s">
        <v>60</v>
      </c>
      <c r="B8" s="7"/>
      <c r="C8" s="26">
        <v>0</v>
      </c>
      <c r="D8" s="326"/>
    </row>
    <row r="9" spans="1:5">
      <c r="A9" s="28" t="s">
        <v>61</v>
      </c>
      <c r="B9" s="16"/>
      <c r="C9" s="16">
        <v>905</v>
      </c>
      <c r="D9" s="327"/>
    </row>
    <row r="10" spans="1:5">
      <c r="A10" s="23" t="s">
        <v>6</v>
      </c>
      <c r="B10" s="23" t="s">
        <v>66</v>
      </c>
      <c r="C10" s="29">
        <f>C11+C12</f>
        <v>460</v>
      </c>
      <c r="D10" s="328">
        <v>301.2</v>
      </c>
    </row>
    <row r="11" spans="1:5">
      <c r="A11" s="25" t="s">
        <v>62</v>
      </c>
      <c r="B11" s="7"/>
      <c r="C11" s="26">
        <v>0</v>
      </c>
      <c r="D11" s="326"/>
    </row>
    <row r="12" spans="1:5">
      <c r="A12" s="25" t="s">
        <v>63</v>
      </c>
      <c r="B12" s="519"/>
      <c r="C12" s="26">
        <v>460</v>
      </c>
      <c r="D12" s="326"/>
    </row>
    <row r="13" spans="1:5">
      <c r="A13" s="30" t="s">
        <v>783</v>
      </c>
      <c r="B13" s="23"/>
      <c r="C13" s="24">
        <f>C14</f>
        <v>910</v>
      </c>
      <c r="D13" s="325"/>
    </row>
    <row r="14" spans="1:5">
      <c r="A14" s="25" t="s">
        <v>784</v>
      </c>
      <c r="B14" s="519"/>
      <c r="C14" s="26">
        <v>910</v>
      </c>
      <c r="D14" s="326"/>
    </row>
    <row r="15" spans="1:5">
      <c r="A15" s="30" t="s">
        <v>7</v>
      </c>
      <c r="B15" s="23" t="s">
        <v>66</v>
      </c>
      <c r="C15" s="24">
        <f>C16+C17</f>
        <v>306</v>
      </c>
      <c r="D15" s="325">
        <v>36.5</v>
      </c>
    </row>
    <row r="16" spans="1:5">
      <c r="A16" s="25" t="s">
        <v>64</v>
      </c>
      <c r="B16" s="7"/>
      <c r="C16" s="26">
        <v>306</v>
      </c>
      <c r="D16" s="326"/>
    </row>
    <row r="17" spans="1:8">
      <c r="A17" s="28" t="s">
        <v>65</v>
      </c>
      <c r="B17" s="16"/>
      <c r="C17" s="31">
        <v>0</v>
      </c>
      <c r="D17" s="327"/>
    </row>
    <row r="18" spans="1:8">
      <c r="A18" s="32" t="s">
        <v>8</v>
      </c>
      <c r="B18" s="221" t="s">
        <v>66</v>
      </c>
      <c r="C18" s="33">
        <f>C19</f>
        <v>165</v>
      </c>
      <c r="D18" s="329">
        <v>85</v>
      </c>
      <c r="E18" s="10" t="s">
        <v>67</v>
      </c>
    </row>
    <row r="19" spans="1:8">
      <c r="A19" s="34" t="s">
        <v>70</v>
      </c>
      <c r="B19" s="35"/>
      <c r="C19" s="35">
        <v>165</v>
      </c>
      <c r="D19" s="330"/>
    </row>
    <row r="20" spans="1:8">
      <c r="A20" s="23" t="s">
        <v>9</v>
      </c>
      <c r="B20" s="23" t="s">
        <v>66</v>
      </c>
      <c r="C20" s="29">
        <f>C21+C22+C23</f>
        <v>0</v>
      </c>
      <c r="D20" s="328">
        <f>75*0</f>
        <v>0</v>
      </c>
    </row>
    <row r="21" spans="1:8" ht="15.75">
      <c r="A21" s="25" t="s">
        <v>68</v>
      </c>
      <c r="B21" s="7"/>
      <c r="C21" s="26">
        <v>0</v>
      </c>
      <c r="D21" s="36"/>
    </row>
    <row r="22" spans="1:8">
      <c r="A22" s="25" t="s">
        <v>70</v>
      </c>
      <c r="B22" s="7"/>
      <c r="C22" s="26">
        <v>0</v>
      </c>
      <c r="D22" s="37"/>
    </row>
    <row r="23" spans="1:8" ht="15.75">
      <c r="A23" s="514" t="s">
        <v>69</v>
      </c>
      <c r="B23" s="515"/>
      <c r="C23" s="516">
        <f>55*0</f>
        <v>0</v>
      </c>
      <c r="D23" s="517"/>
    </row>
    <row r="24" spans="1:8" ht="15.75">
      <c r="A24" s="38" t="s">
        <v>31</v>
      </c>
      <c r="B24" s="39"/>
      <c r="C24" s="40">
        <f>C3+C7+C10+C15+C20+C13</f>
        <v>4115</v>
      </c>
      <c r="D24" s="40">
        <f>D3+D7+D10+D15+D20</f>
        <v>923.90000000000009</v>
      </c>
    </row>
    <row r="25" spans="1:8">
      <c r="A25" s="41"/>
      <c r="B25" s="41"/>
      <c r="C25" s="42"/>
      <c r="D25" s="43"/>
    </row>
    <row r="26" spans="1:8">
      <c r="A26" s="44" t="s">
        <v>729</v>
      </c>
      <c r="B26" s="44" t="s">
        <v>72</v>
      </c>
      <c r="C26" s="45">
        <v>40</v>
      </c>
      <c r="D26" s="331">
        <v>250</v>
      </c>
      <c r="H26" s="148"/>
    </row>
    <row r="27" spans="1:8">
      <c r="A27" s="44" t="s">
        <v>30</v>
      </c>
      <c r="B27" s="44" t="s">
        <v>72</v>
      </c>
      <c r="C27" s="45">
        <v>65.540000000000006</v>
      </c>
      <c r="D27" s="331">
        <v>86</v>
      </c>
      <c r="H27" s="148"/>
    </row>
    <row r="28" spans="1:8">
      <c r="A28" s="46" t="s">
        <v>10</v>
      </c>
      <c r="B28" s="44" t="s">
        <v>72</v>
      </c>
      <c r="C28" s="47">
        <v>125</v>
      </c>
      <c r="D28" s="47">
        <v>466</v>
      </c>
      <c r="E28" s="10" t="s">
        <v>67</v>
      </c>
      <c r="H28" s="148"/>
    </row>
    <row r="29" spans="1:8">
      <c r="A29" s="48" t="s">
        <v>11</v>
      </c>
      <c r="B29" s="44" t="s">
        <v>72</v>
      </c>
      <c r="C29" s="45">
        <v>135</v>
      </c>
      <c r="D29" s="331">
        <v>334.29</v>
      </c>
      <c r="E29" s="10" t="s">
        <v>730</v>
      </c>
      <c r="H29" s="148"/>
    </row>
    <row r="30" spans="1:8">
      <c r="A30" s="48" t="s">
        <v>12</v>
      </c>
      <c r="B30" s="44" t="s">
        <v>72</v>
      </c>
      <c r="C30" s="45">
        <f>C31+C32</f>
        <v>105.82</v>
      </c>
      <c r="D30" s="331">
        <f>D31+D32</f>
        <v>354.4</v>
      </c>
      <c r="H30" s="148"/>
    </row>
    <row r="31" spans="1:8">
      <c r="A31" s="25" t="s">
        <v>13</v>
      </c>
      <c r="B31" s="7"/>
      <c r="C31" s="49">
        <v>50.82</v>
      </c>
      <c r="D31" s="382">
        <v>182.4</v>
      </c>
      <c r="H31" s="148"/>
    </row>
    <row r="32" spans="1:8">
      <c r="A32" s="25" t="s">
        <v>14</v>
      </c>
      <c r="B32" s="7"/>
      <c r="C32" s="26">
        <v>55</v>
      </c>
      <c r="D32" s="382">
        <v>172</v>
      </c>
      <c r="H32" s="148"/>
    </row>
    <row r="33" spans="1:8">
      <c r="A33" s="44" t="s">
        <v>881</v>
      </c>
      <c r="B33" s="44" t="s">
        <v>72</v>
      </c>
      <c r="C33" s="45">
        <v>4.8</v>
      </c>
      <c r="D33" s="331">
        <v>84</v>
      </c>
      <c r="H33" s="148"/>
    </row>
    <row r="34" spans="1:8" ht="54" customHeight="1">
      <c r="A34" s="222" t="s">
        <v>71</v>
      </c>
      <c r="B34" s="30"/>
      <c r="C34" s="50" t="s">
        <v>15</v>
      </c>
      <c r="D34" s="50">
        <v>144.64999999999998</v>
      </c>
    </row>
    <row r="35" spans="1:8" ht="15.75">
      <c r="A35" s="38" t="s">
        <v>32</v>
      </c>
      <c r="B35" s="39"/>
      <c r="C35" s="40">
        <f>SUM(C26:C30,C33)-C28</f>
        <v>351.16</v>
      </c>
      <c r="D35" s="40">
        <f>SUM(D26:D30,D33)-D28+D34</f>
        <v>1253.3400000000001</v>
      </c>
    </row>
    <row r="36" spans="1:8">
      <c r="A36" s="23"/>
      <c r="B36" s="23"/>
      <c r="C36" s="29"/>
      <c r="D36" s="51"/>
    </row>
    <row r="37" spans="1:8">
      <c r="A37" s="52" t="s">
        <v>631</v>
      </c>
      <c r="B37" s="52"/>
      <c r="C37" s="45">
        <v>5</v>
      </c>
      <c r="D37" s="53"/>
    </row>
    <row r="38" spans="1:8">
      <c r="A38" s="23" t="s">
        <v>842</v>
      </c>
      <c r="B38" s="23"/>
      <c r="C38" s="29">
        <v>37</v>
      </c>
      <c r="D38" s="51"/>
    </row>
    <row r="39" spans="1:8" ht="15.75">
      <c r="A39" s="38" t="s">
        <v>782</v>
      </c>
      <c r="B39" s="39"/>
      <c r="C39" s="40">
        <f>+C38+C37</f>
        <v>42</v>
      </c>
      <c r="D39" s="40"/>
    </row>
    <row r="40" spans="1:8">
      <c r="A40" s="23"/>
      <c r="B40" s="23"/>
      <c r="C40" s="29"/>
      <c r="D40" s="51"/>
    </row>
    <row r="41" spans="1:8">
      <c r="A41" s="52" t="s">
        <v>73</v>
      </c>
      <c r="B41" s="52"/>
      <c r="C41" s="45">
        <v>138.37200000000001</v>
      </c>
      <c r="D41" s="53"/>
    </row>
    <row r="42" spans="1:8">
      <c r="A42" s="48" t="s">
        <v>74</v>
      </c>
      <c r="B42" s="48"/>
      <c r="C42" s="45">
        <f>SUM(C43:C48)</f>
        <v>236.75</v>
      </c>
      <c r="D42" s="53"/>
    </row>
    <row r="43" spans="1:8">
      <c r="A43" s="25" t="s">
        <v>16</v>
      </c>
      <c r="B43" s="7"/>
      <c r="C43" s="26">
        <v>30</v>
      </c>
      <c r="D43" s="26"/>
    </row>
    <row r="44" spans="1:8">
      <c r="A44" s="25" t="s">
        <v>17</v>
      </c>
      <c r="B44" s="7"/>
      <c r="C44" s="49">
        <v>30.75</v>
      </c>
      <c r="D44" s="26"/>
    </row>
    <row r="45" spans="1:8">
      <c r="A45" s="25" t="s">
        <v>18</v>
      </c>
      <c r="B45" s="7"/>
      <c r="C45" s="26">
        <v>100</v>
      </c>
      <c r="D45" s="26"/>
    </row>
    <row r="46" spans="1:8">
      <c r="A46" s="25" t="s">
        <v>806</v>
      </c>
      <c r="B46" s="644"/>
      <c r="C46" s="645">
        <v>30</v>
      </c>
      <c r="D46" s="26"/>
    </row>
    <row r="47" spans="1:8">
      <c r="A47" s="25" t="s">
        <v>19</v>
      </c>
      <c r="B47" s="7"/>
      <c r="C47" s="26">
        <v>40</v>
      </c>
      <c r="D47" s="26"/>
    </row>
    <row r="48" spans="1:8">
      <c r="A48" s="614" t="s">
        <v>779</v>
      </c>
      <c r="B48" s="23"/>
      <c r="C48" s="615">
        <v>6</v>
      </c>
      <c r="D48" s="328"/>
    </row>
    <row r="49" spans="1:7">
      <c r="A49" s="616" t="s">
        <v>778</v>
      </c>
      <c r="B49" s="616"/>
      <c r="C49" s="612">
        <f>SUM(C50)</f>
        <v>12.295999999999999</v>
      </c>
      <c r="D49" s="613"/>
    </row>
    <row r="50" spans="1:7">
      <c r="A50" s="25" t="s">
        <v>808</v>
      </c>
      <c r="B50" s="23"/>
      <c r="C50" s="615">
        <v>12.295999999999999</v>
      </c>
      <c r="D50" s="328"/>
    </row>
    <row r="51" spans="1:7" ht="15.75">
      <c r="A51" s="38" t="s">
        <v>33</v>
      </c>
      <c r="B51" s="39"/>
      <c r="C51" s="40">
        <f>SUM(C41,C42,C49)</f>
        <v>387.41800000000001</v>
      </c>
      <c r="D51" s="54"/>
      <c r="G51" s="594"/>
    </row>
    <row r="52" spans="1:7" ht="15.75">
      <c r="A52" s="55"/>
      <c r="B52" s="55"/>
      <c r="C52" s="5"/>
      <c r="D52" s="5"/>
    </row>
    <row r="53" spans="1:7" ht="15.75">
      <c r="A53" s="38" t="s">
        <v>924</v>
      </c>
      <c r="B53" s="39"/>
      <c r="C53" s="40">
        <f>178+59</f>
        <v>237</v>
      </c>
      <c r="D53" s="54"/>
      <c r="G53" s="593"/>
    </row>
    <row r="54" spans="1:7" ht="15.75">
      <c r="A54" s="655"/>
      <c r="B54" s="656"/>
      <c r="C54" s="657"/>
      <c r="D54" s="658"/>
      <c r="G54" s="593"/>
    </row>
    <row r="55" spans="1:7">
      <c r="A55" s="644" t="s">
        <v>843</v>
      </c>
      <c r="B55" s="644"/>
      <c r="C55" s="646">
        <v>5.2</v>
      </c>
      <c r="D55" s="647"/>
    </row>
    <row r="56" spans="1:7" ht="15.75">
      <c r="A56" s="648" t="s">
        <v>844</v>
      </c>
      <c r="B56" s="649"/>
      <c r="C56" s="650">
        <v>5.2</v>
      </c>
      <c r="D56" s="650"/>
    </row>
    <row r="57" spans="1:7" ht="15.75">
      <c r="A57" s="655"/>
      <c r="B57" s="656"/>
      <c r="C57" s="657"/>
      <c r="D57" s="658"/>
      <c r="G57" s="593"/>
    </row>
    <row r="58" spans="1:7" ht="15.75">
      <c r="A58" s="38" t="s">
        <v>331</v>
      </c>
      <c r="B58" s="39"/>
      <c r="C58" s="40">
        <f>C24+C35+C51+C53+C39+C56</f>
        <v>5137.7779999999993</v>
      </c>
      <c r="D58" s="40">
        <f>D24+D35+D51+D53+D39+D56</f>
        <v>2177.2400000000002</v>
      </c>
    </row>
    <row r="60" spans="1:7">
      <c r="A60" s="56" t="s">
        <v>75</v>
      </c>
    </row>
  </sheetData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2">
    <pageSetUpPr fitToPage="1"/>
  </sheetPr>
  <dimension ref="A1:G60"/>
  <sheetViews>
    <sheetView topLeftCell="A32" workbookViewId="0">
      <selection activeCell="C58" sqref="C58"/>
    </sheetView>
  </sheetViews>
  <sheetFormatPr defaultColWidth="9.28515625" defaultRowHeight="15"/>
  <cols>
    <col min="1" max="1" width="51.7109375" style="10" customWidth="1"/>
    <col min="2" max="2" width="25.28515625" style="10" customWidth="1"/>
    <col min="3" max="3" width="22.7109375" style="10" customWidth="1"/>
    <col min="4" max="4" width="15.7109375" style="10" customWidth="1"/>
    <col min="5" max="16384" width="9.28515625" style="10"/>
  </cols>
  <sheetData>
    <row r="1" spans="1:5" ht="45" customHeight="1">
      <c r="A1" s="18" t="s">
        <v>330</v>
      </c>
      <c r="B1" s="19"/>
      <c r="C1" s="20"/>
      <c r="D1" s="57"/>
      <c r="E1" s="5"/>
    </row>
    <row r="2" spans="1:5" ht="45">
      <c r="A2" s="21" t="s">
        <v>59</v>
      </c>
      <c r="B2" s="22" t="s">
        <v>54</v>
      </c>
      <c r="C2" s="21" t="s">
        <v>55</v>
      </c>
      <c r="D2" s="21" t="s">
        <v>56</v>
      </c>
    </row>
    <row r="3" spans="1:5">
      <c r="A3" s="23" t="s">
        <v>728</v>
      </c>
      <c r="B3" s="23" t="s">
        <v>66</v>
      </c>
      <c r="C3" s="24">
        <f>C4+C5+C6</f>
        <v>1570</v>
      </c>
      <c r="D3" s="325">
        <v>390.2</v>
      </c>
    </row>
    <row r="4" spans="1:5">
      <c r="A4" s="25" t="s">
        <v>58</v>
      </c>
      <c r="B4" s="7"/>
      <c r="C4" s="317">
        <v>140</v>
      </c>
      <c r="D4" s="326"/>
    </row>
    <row r="5" spans="1:5">
      <c r="A5" s="25" t="s">
        <v>57</v>
      </c>
      <c r="B5" s="7"/>
      <c r="C5" s="318">
        <v>1380</v>
      </c>
      <c r="D5" s="326"/>
    </row>
    <row r="6" spans="1:5">
      <c r="A6" s="518" t="s">
        <v>4</v>
      </c>
      <c r="B6" s="519"/>
      <c r="C6" s="520">
        <v>50</v>
      </c>
      <c r="D6" s="521"/>
    </row>
    <row r="7" spans="1:5">
      <c r="A7" s="23" t="s">
        <v>5</v>
      </c>
      <c r="B7" s="23" t="s">
        <v>66</v>
      </c>
      <c r="C7" s="209">
        <f>C8+C9</f>
        <v>920</v>
      </c>
      <c r="D7" s="325">
        <v>196</v>
      </c>
    </row>
    <row r="8" spans="1:5">
      <c r="A8" s="25" t="s">
        <v>60</v>
      </c>
      <c r="B8" s="7"/>
      <c r="C8" s="26">
        <v>0</v>
      </c>
      <c r="D8" s="326"/>
    </row>
    <row r="9" spans="1:5">
      <c r="A9" s="28" t="s">
        <v>61</v>
      </c>
      <c r="B9" s="16"/>
      <c r="C9" s="16">
        <v>920</v>
      </c>
      <c r="D9" s="327"/>
    </row>
    <row r="10" spans="1:5">
      <c r="A10" s="23" t="s">
        <v>6</v>
      </c>
      <c r="B10" s="23" t="s">
        <v>66</v>
      </c>
      <c r="C10" s="29">
        <f>C11+C12</f>
        <v>460</v>
      </c>
      <c r="D10" s="328">
        <v>301.2</v>
      </c>
    </row>
    <row r="11" spans="1:5">
      <c r="A11" s="25" t="s">
        <v>62</v>
      </c>
      <c r="B11" s="7"/>
      <c r="C11" s="26">
        <v>0</v>
      </c>
      <c r="D11" s="326"/>
    </row>
    <row r="12" spans="1:5">
      <c r="A12" s="25" t="s">
        <v>63</v>
      </c>
      <c r="B12" s="519"/>
      <c r="C12" s="26">
        <v>460</v>
      </c>
      <c r="D12" s="326"/>
    </row>
    <row r="13" spans="1:5">
      <c r="A13" s="30" t="s">
        <v>783</v>
      </c>
      <c r="B13" s="23"/>
      <c r="C13" s="24">
        <v>915</v>
      </c>
      <c r="D13" s="325"/>
    </row>
    <row r="14" spans="1:5">
      <c r="A14" s="25" t="s">
        <v>784</v>
      </c>
      <c r="B14" s="630"/>
      <c r="C14" s="26">
        <v>915</v>
      </c>
      <c r="D14" s="326"/>
    </row>
    <row r="15" spans="1:5">
      <c r="A15" s="30" t="s">
        <v>7</v>
      </c>
      <c r="B15" s="23" t="s">
        <v>66</v>
      </c>
      <c r="C15" s="24">
        <f>C16+C17</f>
        <v>305.39999999999998</v>
      </c>
      <c r="D15" s="325">
        <v>36.5</v>
      </c>
    </row>
    <row r="16" spans="1:5">
      <c r="A16" s="25" t="s">
        <v>64</v>
      </c>
      <c r="B16" s="7"/>
      <c r="C16" s="49">
        <v>305.39999999999998</v>
      </c>
      <c r="D16" s="326"/>
    </row>
    <row r="17" spans="1:5">
      <c r="A17" s="28" t="s">
        <v>65</v>
      </c>
      <c r="B17" s="16"/>
      <c r="C17" s="31">
        <v>0</v>
      </c>
      <c r="D17" s="327"/>
    </row>
    <row r="18" spans="1:5">
      <c r="A18" s="32" t="s">
        <v>8</v>
      </c>
      <c r="B18" s="221" t="s">
        <v>66</v>
      </c>
      <c r="C18" s="33">
        <f>C19</f>
        <v>165</v>
      </c>
      <c r="D18" s="329">
        <v>85</v>
      </c>
      <c r="E18" s="10" t="s">
        <v>67</v>
      </c>
    </row>
    <row r="19" spans="1:5">
      <c r="A19" s="34" t="s">
        <v>70</v>
      </c>
      <c r="B19" s="35"/>
      <c r="C19" s="35">
        <v>165</v>
      </c>
      <c r="D19" s="330"/>
    </row>
    <row r="20" spans="1:5">
      <c r="A20" s="23" t="s">
        <v>9</v>
      </c>
      <c r="B20" s="23" t="s">
        <v>66</v>
      </c>
      <c r="C20" s="29">
        <f>C21+C22+C23</f>
        <v>0</v>
      </c>
      <c r="D20" s="328">
        <f>75*0</f>
        <v>0</v>
      </c>
    </row>
    <row r="21" spans="1:5" ht="15.75">
      <c r="A21" s="25" t="s">
        <v>68</v>
      </c>
      <c r="B21" s="7"/>
      <c r="C21" s="26">
        <v>0</v>
      </c>
      <c r="D21" s="36"/>
    </row>
    <row r="22" spans="1:5">
      <c r="A22" s="25" t="s">
        <v>70</v>
      </c>
      <c r="B22" s="7"/>
      <c r="C22" s="26">
        <v>0</v>
      </c>
      <c r="D22" s="37"/>
    </row>
    <row r="23" spans="1:5" ht="15.75">
      <c r="A23" s="514" t="s">
        <v>69</v>
      </c>
      <c r="B23" s="515"/>
      <c r="C23" s="516">
        <f>55*0</f>
        <v>0</v>
      </c>
      <c r="D23" s="517"/>
    </row>
    <row r="24" spans="1:5" ht="15.75">
      <c r="A24" s="38" t="s">
        <v>31</v>
      </c>
      <c r="B24" s="39"/>
      <c r="C24" s="40">
        <f>C3+C7+C10+C15+C20+C13</f>
        <v>4170.3999999999996</v>
      </c>
      <c r="D24" s="40">
        <f>D3+D7+D10+D15+D20</f>
        <v>923.90000000000009</v>
      </c>
    </row>
    <row r="25" spans="1:5">
      <c r="A25" s="41"/>
      <c r="B25" s="41"/>
      <c r="C25" s="42"/>
      <c r="D25" s="43"/>
    </row>
    <row r="26" spans="1:5">
      <c r="A26" s="44" t="s">
        <v>729</v>
      </c>
      <c r="B26" s="44" t="s">
        <v>72</v>
      </c>
      <c r="C26" s="45">
        <v>40</v>
      </c>
      <c r="D26" s="331">
        <v>250</v>
      </c>
    </row>
    <row r="27" spans="1:5">
      <c r="A27" s="44" t="s">
        <v>30</v>
      </c>
      <c r="B27" s="44" t="s">
        <v>72</v>
      </c>
      <c r="C27" s="45">
        <v>66</v>
      </c>
      <c r="D27" s="331">
        <v>86</v>
      </c>
    </row>
    <row r="28" spans="1:5">
      <c r="A28" s="46" t="s">
        <v>10</v>
      </c>
      <c r="B28" s="44" t="s">
        <v>72</v>
      </c>
      <c r="C28" s="47">
        <v>125</v>
      </c>
      <c r="D28" s="47">
        <v>466</v>
      </c>
      <c r="E28" s="10" t="s">
        <v>67</v>
      </c>
    </row>
    <row r="29" spans="1:5">
      <c r="A29" s="48" t="s">
        <v>11</v>
      </c>
      <c r="B29" s="44" t="s">
        <v>72</v>
      </c>
      <c r="C29" s="45">
        <v>135.5</v>
      </c>
      <c r="D29" s="331">
        <v>294.29000000000002</v>
      </c>
    </row>
    <row r="30" spans="1:5">
      <c r="A30" s="48" t="s">
        <v>12</v>
      </c>
      <c r="B30" s="44" t="s">
        <v>72</v>
      </c>
      <c r="C30" s="45">
        <f>C31+C32</f>
        <v>105.82</v>
      </c>
      <c r="D30" s="331">
        <f>D31+D32</f>
        <v>383.8</v>
      </c>
    </row>
    <row r="31" spans="1:5">
      <c r="A31" s="25" t="s">
        <v>13</v>
      </c>
      <c r="B31" s="7"/>
      <c r="C31" s="49">
        <v>50.82</v>
      </c>
      <c r="D31" s="382">
        <v>182.4</v>
      </c>
    </row>
    <row r="32" spans="1:5">
      <c r="A32" s="25" t="s">
        <v>14</v>
      </c>
      <c r="B32" s="7"/>
      <c r="C32" s="26">
        <v>55</v>
      </c>
      <c r="D32" s="382">
        <v>201.4</v>
      </c>
    </row>
    <row r="33" spans="1:4">
      <c r="A33" s="44" t="s">
        <v>881</v>
      </c>
      <c r="B33" s="44" t="s">
        <v>72</v>
      </c>
      <c r="C33" s="45">
        <v>4.5</v>
      </c>
      <c r="D33" s="331">
        <v>84</v>
      </c>
    </row>
    <row r="34" spans="1:4" ht="54" customHeight="1">
      <c r="A34" s="222" t="s">
        <v>71</v>
      </c>
      <c r="B34" s="30"/>
      <c r="C34" s="50" t="s">
        <v>15</v>
      </c>
      <c r="D34" s="50">
        <v>144.64999999999998</v>
      </c>
    </row>
    <row r="35" spans="1:4" ht="15.75">
      <c r="A35" s="38" t="s">
        <v>32</v>
      </c>
      <c r="B35" s="39"/>
      <c r="C35" s="40">
        <f>SUM(C26:C30,C33)-C28</f>
        <v>351.82</v>
      </c>
      <c r="D35" s="40">
        <f>SUM(D26:D30,D33)-D28+D34</f>
        <v>1242.7399999999998</v>
      </c>
    </row>
    <row r="36" spans="1:4">
      <c r="A36" s="23"/>
      <c r="B36" s="23"/>
      <c r="C36" s="29"/>
      <c r="D36" s="51"/>
    </row>
    <row r="37" spans="1:4">
      <c r="A37" s="52" t="s">
        <v>631</v>
      </c>
      <c r="B37" s="52"/>
      <c r="C37" s="45">
        <v>5</v>
      </c>
      <c r="D37" s="53"/>
    </row>
    <row r="38" spans="1:4">
      <c r="A38" s="23" t="s">
        <v>842</v>
      </c>
      <c r="B38" s="23"/>
      <c r="C38" s="29">
        <v>37</v>
      </c>
      <c r="D38" s="51"/>
    </row>
    <row r="39" spans="1:4" ht="15.75">
      <c r="A39" s="38" t="s">
        <v>782</v>
      </c>
      <c r="B39" s="39"/>
      <c r="C39" s="40">
        <f>+C38+C37</f>
        <v>42</v>
      </c>
      <c r="D39" s="40"/>
    </row>
    <row r="40" spans="1:4">
      <c r="A40" s="23"/>
      <c r="B40" s="23"/>
      <c r="C40" s="29"/>
      <c r="D40" s="51"/>
    </row>
    <row r="41" spans="1:4">
      <c r="A41" s="52" t="s">
        <v>73</v>
      </c>
      <c r="B41" s="52"/>
      <c r="C41" s="45">
        <v>132.94399999999999</v>
      </c>
      <c r="D41" s="53"/>
    </row>
    <row r="42" spans="1:4">
      <c r="A42" s="48" t="s">
        <v>74</v>
      </c>
      <c r="B42" s="48"/>
      <c r="C42" s="45">
        <f>SUM(C43:C48)</f>
        <v>236.75</v>
      </c>
      <c r="D42" s="53"/>
    </row>
    <row r="43" spans="1:4">
      <c r="A43" s="25" t="s">
        <v>16</v>
      </c>
      <c r="B43" s="7"/>
      <c r="C43" s="26">
        <v>30</v>
      </c>
      <c r="D43" s="26"/>
    </row>
    <row r="44" spans="1:4">
      <c r="A44" s="25" t="s">
        <v>17</v>
      </c>
      <c r="B44" s="7"/>
      <c r="C44" s="49">
        <v>30.75</v>
      </c>
      <c r="D44" s="26"/>
    </row>
    <row r="45" spans="1:4">
      <c r="A45" s="25" t="s">
        <v>18</v>
      </c>
      <c r="B45" s="7"/>
      <c r="C45" s="26">
        <v>100</v>
      </c>
      <c r="D45" s="26"/>
    </row>
    <row r="46" spans="1:4">
      <c r="A46" s="25" t="s">
        <v>806</v>
      </c>
      <c r="B46" s="644"/>
      <c r="C46" s="645">
        <v>30</v>
      </c>
      <c r="D46" s="26"/>
    </row>
    <row r="47" spans="1:4">
      <c r="A47" s="25" t="s">
        <v>19</v>
      </c>
      <c r="B47" s="7"/>
      <c r="C47" s="26">
        <v>40</v>
      </c>
      <c r="D47" s="26"/>
    </row>
    <row r="48" spans="1:4">
      <c r="A48" s="25" t="s">
        <v>807</v>
      </c>
      <c r="B48" s="23"/>
      <c r="C48" s="615">
        <v>6</v>
      </c>
      <c r="D48" s="328"/>
    </row>
    <row r="49" spans="1:7">
      <c r="A49" s="616" t="s">
        <v>778</v>
      </c>
      <c r="B49" s="616"/>
      <c r="C49" s="612">
        <f>SUM(C50:C50)</f>
        <v>14</v>
      </c>
      <c r="D49" s="613"/>
    </row>
    <row r="50" spans="1:7">
      <c r="A50" s="25" t="s">
        <v>808</v>
      </c>
      <c r="B50" s="23"/>
      <c r="C50" s="615">
        <v>14</v>
      </c>
      <c r="D50" s="328"/>
    </row>
    <row r="51" spans="1:7" ht="15.75">
      <c r="A51" s="38" t="s">
        <v>33</v>
      </c>
      <c r="B51" s="39"/>
      <c r="C51" s="40">
        <f>C41+C42+C49</f>
        <v>383.69399999999996</v>
      </c>
      <c r="D51" s="54"/>
      <c r="G51" s="148"/>
    </row>
    <row r="52" spans="1:7" ht="15.75">
      <c r="A52" s="55"/>
      <c r="B52" s="55"/>
      <c r="C52" s="5"/>
      <c r="D52" s="5"/>
    </row>
    <row r="53" spans="1:7" ht="15.75">
      <c r="A53" s="38" t="s">
        <v>924</v>
      </c>
      <c r="B53" s="39"/>
      <c r="C53" s="40">
        <f>180+59</f>
        <v>239</v>
      </c>
      <c r="D53" s="54"/>
    </row>
    <row r="54" spans="1:7" customFormat="1" ht="15.75">
      <c r="A54" s="651"/>
      <c r="B54" s="652"/>
      <c r="C54" s="653"/>
      <c r="D54" s="654"/>
    </row>
    <row r="55" spans="1:7">
      <c r="A55" s="644" t="s">
        <v>843</v>
      </c>
      <c r="B55" s="644"/>
      <c r="C55" s="646">
        <f>C56</f>
        <v>5.44</v>
      </c>
      <c r="D55" s="647"/>
    </row>
    <row r="56" spans="1:7" ht="15.75">
      <c r="A56" s="648" t="s">
        <v>844</v>
      </c>
      <c r="B56" s="649"/>
      <c r="C56" s="650">
        <v>5.44</v>
      </c>
      <c r="D56" s="650"/>
    </row>
    <row r="57" spans="1:7" ht="15.75">
      <c r="A57" s="56"/>
      <c r="B57" s="55"/>
      <c r="C57" s="5"/>
      <c r="D57" s="5"/>
    </row>
    <row r="58" spans="1:7" ht="15.75">
      <c r="A58" s="38" t="s">
        <v>331</v>
      </c>
      <c r="B58" s="39"/>
      <c r="C58" s="40">
        <f>C24+C35+C51+C53+C39+C56</f>
        <v>5192.3539999999985</v>
      </c>
      <c r="D58" s="40">
        <f>D24+D35+D51+D53+D39+D56</f>
        <v>2166.64</v>
      </c>
    </row>
    <row r="60" spans="1:7">
      <c r="A60" s="56" t="s">
        <v>75</v>
      </c>
      <c r="C60" s="148"/>
    </row>
  </sheetData>
  <customSheetViews>
    <customSheetView guid="{786DE933-524F-40D1-8033-C008687087FC}">
      <pageMargins left="0.7" right="0.7" top="0.75" bottom="0.75" header="0.3" footer="0.3"/>
    </customSheetView>
    <customSheetView guid="{627AEB6E-B9F1-415E-9A60-881757A50C67}">
      <selection activeCell="C3" sqref="C3"/>
      <pageMargins left="0.7" right="0.7" top="0.75" bottom="0.75" header="0.3" footer="0.3"/>
    </customSheetView>
    <customSheetView guid="{874BA5F8-BD95-4DDF-8F31-98DB154CA965}">
      <selection activeCell="F4" sqref="F4"/>
      <pageMargins left="0.7" right="0.7" top="0.75" bottom="0.75" header="0.3" footer="0.3"/>
    </customSheetView>
    <customSheetView guid="{AAA495E0-27FD-4941-85B8-9038B6AD4FA3}">
      <selection activeCell="F4" sqref="F4"/>
      <pageMargins left="0.7" right="0.7" top="0.75" bottom="0.75" header="0.3" footer="0.3"/>
    </customSheetView>
    <customSheetView guid="{77EFF5B1-32BE-4080-9902-B97F43099026}">
      <pageMargins left="0.7" right="0.7" top="0.75" bottom="0.75" header="0.3" footer="0.3"/>
    </customSheetView>
  </customSheetView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3">
    <pageSetUpPr fitToPage="1"/>
  </sheetPr>
  <dimension ref="A1:OL51"/>
  <sheetViews>
    <sheetView topLeftCell="A2" workbookViewId="0">
      <selection activeCell="E12" sqref="E12"/>
    </sheetView>
  </sheetViews>
  <sheetFormatPr defaultColWidth="9.28515625" defaultRowHeight="15"/>
  <cols>
    <col min="1" max="1" width="40.7109375" style="5" customWidth="1"/>
    <col min="2" max="2" width="3.7109375" style="10" customWidth="1"/>
    <col min="3" max="3" width="21.28515625" style="10" customWidth="1"/>
    <col min="4" max="5" width="14.7109375" style="10" customWidth="1"/>
    <col min="6" max="6" width="21.7109375" style="10" customWidth="1"/>
    <col min="7" max="7" width="3.7109375" style="10" customWidth="1"/>
    <col min="8" max="8" width="21.28515625" style="10" customWidth="1"/>
    <col min="9" max="10" width="14.7109375" style="10" customWidth="1"/>
    <col min="11" max="11" width="21.7109375" style="10" customWidth="1"/>
    <col min="12" max="12" width="3.7109375" style="10" customWidth="1"/>
    <col min="13" max="13" width="21.28515625" style="10" customWidth="1"/>
    <col min="14" max="15" width="14.7109375" style="10" customWidth="1"/>
    <col min="16" max="16" width="21.7109375" style="10" customWidth="1"/>
    <col min="17" max="17" width="3.7109375" style="10" customWidth="1"/>
    <col min="18" max="18" width="21.28515625" style="10" customWidth="1"/>
    <col min="19" max="20" width="14.7109375" style="10" customWidth="1"/>
    <col min="21" max="21" width="21.7109375" style="10" customWidth="1"/>
    <col min="22" max="22" width="3.7109375" style="10" customWidth="1"/>
    <col min="23" max="23" width="21.28515625" style="10" customWidth="1"/>
    <col min="24" max="25" width="14.7109375" style="10" customWidth="1"/>
    <col min="26" max="26" width="21.7109375" style="10" customWidth="1"/>
    <col min="27" max="27" width="3.7109375" style="10" customWidth="1"/>
    <col min="28" max="28" width="21.28515625" style="10" customWidth="1"/>
    <col min="29" max="30" width="14.7109375" style="10" customWidth="1"/>
    <col min="31" max="31" width="21.7109375" style="10" customWidth="1"/>
    <col min="32" max="32" width="3.7109375" style="10" customWidth="1"/>
    <col min="33" max="33" width="21.28515625" style="10" customWidth="1"/>
    <col min="34" max="35" width="14.7109375" style="10" customWidth="1"/>
    <col min="36" max="36" width="21.7109375" style="10" customWidth="1"/>
    <col min="37" max="37" width="3.7109375" style="10" customWidth="1"/>
    <col min="38" max="38" width="21.28515625" style="10" customWidth="1"/>
    <col min="39" max="40" width="14.7109375" style="10" customWidth="1"/>
    <col min="41" max="41" width="21.7109375" style="10" customWidth="1"/>
    <col min="42" max="42" width="3.7109375" style="10" customWidth="1"/>
    <col min="43" max="43" width="21.28515625" style="10" customWidth="1"/>
    <col min="44" max="45" width="14.7109375" style="10" customWidth="1"/>
    <col min="46" max="46" width="21.7109375" style="10" customWidth="1"/>
    <col min="47" max="47" width="3.7109375" style="10" customWidth="1"/>
    <col min="48" max="48" width="21.28515625" style="10" customWidth="1"/>
    <col min="49" max="50" width="14.7109375" style="10" customWidth="1"/>
    <col min="51" max="51" width="21.7109375" style="10" customWidth="1"/>
    <col min="52" max="52" width="3.7109375" style="10" customWidth="1"/>
    <col min="53" max="53" width="21.28515625" style="10" customWidth="1"/>
    <col min="54" max="55" width="14.7109375" style="10" customWidth="1"/>
    <col min="56" max="56" width="21.7109375" style="10" customWidth="1"/>
    <col min="57" max="57" width="3.7109375" style="10" customWidth="1"/>
    <col min="58" max="58" width="21.28515625" style="10" customWidth="1"/>
    <col min="59" max="60" width="14.7109375" style="10" customWidth="1"/>
    <col min="61" max="61" width="21.7109375" style="10" customWidth="1"/>
    <col min="62" max="62" width="3.7109375" style="10" customWidth="1"/>
    <col min="63" max="63" width="21.28515625" style="10" customWidth="1"/>
    <col min="64" max="65" width="14.7109375" style="10" customWidth="1"/>
    <col min="66" max="66" width="21.7109375" style="10" customWidth="1"/>
    <col min="67" max="67" width="3.7109375" style="10" customWidth="1"/>
    <col min="68" max="68" width="21.28515625" style="10" customWidth="1"/>
    <col min="69" max="70" width="14.7109375" style="10" customWidth="1"/>
    <col min="71" max="71" width="21.7109375" style="10" customWidth="1"/>
    <col min="72" max="72" width="3.7109375" style="10" customWidth="1"/>
    <col min="73" max="73" width="21.28515625" style="10" customWidth="1"/>
    <col min="74" max="75" width="14.7109375" style="10" customWidth="1"/>
    <col min="76" max="76" width="21.7109375" style="10" customWidth="1"/>
    <col min="77" max="77" width="3.7109375" style="10" customWidth="1"/>
    <col min="78" max="78" width="21.28515625" style="10" customWidth="1"/>
    <col min="79" max="80" width="14.7109375" style="10" customWidth="1"/>
    <col min="81" max="81" width="21.7109375" style="10" customWidth="1"/>
    <col min="82" max="82" width="3.7109375" style="10" customWidth="1"/>
    <col min="83" max="83" width="21.28515625" style="10" customWidth="1"/>
    <col min="84" max="85" width="14.7109375" style="10" customWidth="1"/>
    <col min="86" max="86" width="21.7109375" style="10" customWidth="1"/>
    <col min="87" max="87" width="3.7109375" style="10" customWidth="1"/>
    <col min="88" max="88" width="21.28515625" style="10" customWidth="1"/>
    <col min="89" max="90" width="14.7109375" style="10" customWidth="1"/>
    <col min="91" max="91" width="21.7109375" style="10" customWidth="1"/>
    <col min="92" max="92" width="3.7109375" style="10" customWidth="1"/>
    <col min="93" max="93" width="21.28515625" style="10" customWidth="1"/>
    <col min="94" max="95" width="14.7109375" style="10" customWidth="1"/>
    <col min="96" max="96" width="21.7109375" style="10" customWidth="1"/>
    <col min="97" max="97" width="3.7109375" style="10" customWidth="1"/>
    <col min="98" max="98" width="21.28515625" style="10" customWidth="1"/>
    <col min="99" max="100" width="14.7109375" style="10" customWidth="1"/>
    <col min="101" max="101" width="21.7109375" style="10" customWidth="1"/>
    <col min="102" max="102" width="3.7109375" style="10" customWidth="1"/>
    <col min="103" max="103" width="21.28515625" style="10" customWidth="1"/>
    <col min="104" max="105" width="14.7109375" style="10" customWidth="1"/>
    <col min="106" max="106" width="21.7109375" style="10" customWidth="1"/>
    <col min="107" max="107" width="3.7109375" style="10" customWidth="1"/>
    <col min="108" max="108" width="21.28515625" style="10" customWidth="1"/>
    <col min="109" max="110" width="14.7109375" style="10" customWidth="1"/>
    <col min="111" max="111" width="21.7109375" style="10" customWidth="1"/>
    <col min="112" max="112" width="3.7109375" style="10" customWidth="1"/>
    <col min="113" max="113" width="21.28515625" style="10" customWidth="1"/>
    <col min="114" max="115" width="14.7109375" style="10" customWidth="1"/>
    <col min="116" max="116" width="21.7109375" style="10" customWidth="1"/>
    <col min="117" max="117" width="3.7109375" style="10" customWidth="1"/>
    <col min="118" max="118" width="21.28515625" style="10" customWidth="1"/>
    <col min="119" max="120" width="14.7109375" style="10" customWidth="1"/>
    <col min="121" max="121" width="21.7109375" style="10" customWidth="1"/>
    <col min="122" max="122" width="3.7109375" style="10" customWidth="1"/>
    <col min="123" max="123" width="21.28515625" style="10" customWidth="1"/>
    <col min="124" max="125" width="14.7109375" style="10" customWidth="1"/>
    <col min="126" max="126" width="21.7109375" style="10" customWidth="1"/>
    <col min="127" max="127" width="3.7109375" style="10" customWidth="1"/>
    <col min="128" max="128" width="21.28515625" style="10" customWidth="1"/>
    <col min="129" max="130" width="14.7109375" style="10" customWidth="1"/>
    <col min="131" max="131" width="21.7109375" style="10" customWidth="1"/>
    <col min="132" max="132" width="3.7109375" style="10" customWidth="1"/>
    <col min="133" max="133" width="21.28515625" style="10" customWidth="1"/>
    <col min="134" max="135" width="14.7109375" style="10" customWidth="1"/>
    <col min="136" max="136" width="21.7109375" style="10" customWidth="1"/>
    <col min="137" max="137" width="3.7109375" style="10" customWidth="1"/>
    <col min="138" max="138" width="21.28515625" style="10" customWidth="1"/>
    <col min="139" max="140" width="14.7109375" style="10" customWidth="1"/>
    <col min="141" max="141" width="21.7109375" style="10" customWidth="1"/>
    <col min="142" max="142" width="3.7109375" style="10" customWidth="1"/>
    <col min="143" max="143" width="21.28515625" style="10" customWidth="1"/>
    <col min="144" max="145" width="14.7109375" style="10" customWidth="1"/>
    <col min="146" max="146" width="21.7109375" style="10" customWidth="1"/>
    <col min="147" max="147" width="3.7109375" style="10" customWidth="1"/>
    <col min="148" max="148" width="21.28515625" style="10" customWidth="1"/>
    <col min="149" max="150" width="14.7109375" style="10" customWidth="1"/>
    <col min="151" max="151" width="21.7109375" style="10" customWidth="1"/>
    <col min="152" max="152" width="3.7109375" style="10" customWidth="1"/>
    <col min="153" max="153" width="21.28515625" style="10" customWidth="1"/>
    <col min="154" max="155" width="14.7109375" style="10" customWidth="1"/>
    <col min="156" max="156" width="21.7109375" style="10" customWidth="1"/>
    <col min="157" max="157" width="3.7109375" style="10" customWidth="1"/>
    <col min="158" max="158" width="21.28515625" style="10" customWidth="1"/>
    <col min="159" max="160" width="14.7109375" style="10" customWidth="1"/>
    <col min="161" max="161" width="21.7109375" style="10" customWidth="1"/>
    <col min="162" max="162" width="3.7109375" style="10" customWidth="1"/>
    <col min="163" max="163" width="21.28515625" style="10" customWidth="1"/>
    <col min="164" max="165" width="14.7109375" style="10" customWidth="1"/>
    <col min="166" max="166" width="21.7109375" style="10" customWidth="1"/>
    <col min="167" max="167" width="5.7109375" style="10" customWidth="1"/>
    <col min="168" max="168" width="21.28515625" style="339" customWidth="1"/>
    <col min="169" max="170" width="14.7109375" style="339" customWidth="1"/>
    <col min="171" max="171" width="21.7109375" style="339" customWidth="1"/>
    <col min="172" max="172" width="3.7109375" style="339" customWidth="1"/>
    <col min="173" max="173" width="21.28515625" style="339" customWidth="1"/>
    <col min="174" max="175" width="14.7109375" style="339" customWidth="1"/>
    <col min="176" max="176" width="21.7109375" style="339" customWidth="1"/>
    <col min="177" max="177" width="8.28515625" style="339" customWidth="1"/>
    <col min="178" max="178" width="21.28515625" style="339" customWidth="1"/>
    <col min="179" max="180" width="14.7109375" style="339" customWidth="1"/>
    <col min="181" max="181" width="21.7109375" style="339" customWidth="1"/>
    <col min="182" max="182" width="3.7109375" style="339" customWidth="1"/>
    <col min="183" max="183" width="21.28515625" style="339" customWidth="1"/>
    <col min="184" max="185" width="14.7109375" style="339" customWidth="1"/>
    <col min="186" max="186" width="21.7109375" style="339" customWidth="1"/>
    <col min="187" max="188" width="3.7109375" style="339" customWidth="1"/>
    <col min="189" max="189" width="21.28515625" style="339" customWidth="1"/>
    <col min="190" max="191" width="14.7109375" style="339" customWidth="1"/>
    <col min="192" max="192" width="21.7109375" style="339" customWidth="1"/>
    <col min="193" max="193" width="3.7109375" style="339" customWidth="1"/>
    <col min="194" max="194" width="21.28515625" style="339" customWidth="1"/>
    <col min="195" max="196" width="14.7109375" style="339" customWidth="1"/>
    <col min="197" max="197" width="21.7109375" style="339" customWidth="1"/>
    <col min="198" max="198" width="3.7109375" style="339" customWidth="1"/>
    <col min="199" max="199" width="21.28515625" style="339" customWidth="1"/>
    <col min="200" max="201" width="14.7109375" style="339" customWidth="1"/>
    <col min="202" max="202" width="21.7109375" style="339" customWidth="1"/>
    <col min="203" max="203" width="5.7109375" style="339" customWidth="1"/>
    <col min="204" max="204" width="21.28515625" style="339" customWidth="1"/>
    <col min="205" max="206" width="14.7109375" style="339" customWidth="1"/>
    <col min="207" max="207" width="21.7109375" style="339" customWidth="1"/>
    <col min="208" max="208" width="3.7109375" style="339" customWidth="1"/>
    <col min="209" max="209" width="21.28515625" style="339" customWidth="1"/>
    <col min="210" max="211" width="14.7109375" style="339" customWidth="1"/>
    <col min="212" max="212" width="21.7109375" style="339" customWidth="1"/>
    <col min="213" max="213" width="5.7109375" style="339" customWidth="1"/>
    <col min="214" max="214" width="21.28515625" style="339" customWidth="1"/>
    <col min="215" max="216" width="14.7109375" style="339" customWidth="1"/>
    <col min="217" max="217" width="21.7109375" style="339" customWidth="1"/>
    <col min="218" max="218" width="3.7109375" style="339" customWidth="1"/>
    <col min="219" max="219" width="21.28515625" style="339" customWidth="1"/>
    <col min="220" max="221" width="14.7109375" style="339" customWidth="1"/>
    <col min="222" max="222" width="21.7109375" style="339" customWidth="1"/>
    <col min="223" max="223" width="5.7109375" style="339" customWidth="1"/>
    <col min="224" max="224" width="21.28515625" style="157" customWidth="1"/>
    <col min="225" max="226" width="14.7109375" style="157" customWidth="1"/>
    <col min="227" max="227" width="21.7109375" style="157" customWidth="1"/>
    <col min="228" max="228" width="3.7109375" style="157" customWidth="1"/>
    <col min="229" max="229" width="21.28515625" style="157" customWidth="1"/>
    <col min="230" max="231" width="14.7109375" style="157" customWidth="1"/>
    <col min="232" max="232" width="21.7109375" style="157" customWidth="1"/>
    <col min="233" max="233" width="5.7109375" style="10" customWidth="1"/>
    <col min="234" max="234" width="21.28515625" style="10" customWidth="1"/>
    <col min="235" max="236" width="14.7109375" style="10" customWidth="1"/>
    <col min="237" max="237" width="21.7109375" style="10" customWidth="1"/>
    <col min="238" max="238" width="9.5703125" style="10" customWidth="1"/>
    <col min="239" max="239" width="21.28515625" style="10" customWidth="1"/>
    <col min="240" max="241" width="14.7109375" style="10" customWidth="1"/>
    <col min="242" max="242" width="21.7109375" style="10" customWidth="1"/>
    <col min="243" max="243" width="3.7109375" style="10" customWidth="1"/>
    <col min="244" max="244" width="21.28515625" style="10" customWidth="1"/>
    <col min="245" max="246" width="14.7109375" style="10" customWidth="1"/>
    <col min="247" max="247" width="21.7109375" style="10" customWidth="1"/>
    <col min="248" max="248" width="15" style="10" customWidth="1"/>
    <col min="249" max="249" width="21.7109375" style="10" customWidth="1"/>
    <col min="250" max="251" width="17.7109375" style="10" customWidth="1"/>
    <col min="252" max="252" width="21.7109375" style="10" customWidth="1"/>
    <col min="253" max="253" width="6.28515625" style="10" customWidth="1"/>
    <col min="254" max="254" width="21.7109375" style="10" customWidth="1"/>
    <col min="255" max="256" width="17.7109375" style="10" customWidth="1"/>
    <col min="257" max="257" width="21.7109375" style="10" customWidth="1"/>
    <col min="258" max="258" width="4.5703125" style="10" customWidth="1"/>
    <col min="259" max="259" width="21.7109375" style="10" customWidth="1"/>
    <col min="260" max="261" width="17.7109375" style="10" customWidth="1"/>
    <col min="262" max="262" width="21.7109375" style="10" customWidth="1"/>
    <col min="263" max="263" width="5.7109375" style="10" customWidth="1"/>
    <col min="264" max="264" width="21.7109375" style="10" customWidth="1"/>
    <col min="265" max="266" width="17.7109375" style="10" customWidth="1"/>
    <col min="267" max="267" width="21.7109375" style="10" customWidth="1"/>
    <col min="268" max="268" width="3.7109375" style="10" customWidth="1"/>
    <col min="269" max="269" width="21.7109375" style="10" customWidth="1"/>
    <col min="270" max="271" width="17.7109375" style="10" customWidth="1"/>
    <col min="272" max="272" width="21.7109375" style="10" customWidth="1"/>
    <col min="273" max="273" width="3.7109375" style="10" customWidth="1"/>
    <col min="274" max="274" width="21.7109375" style="10" customWidth="1"/>
    <col min="275" max="276" width="17.7109375" style="10" customWidth="1"/>
    <col min="277" max="277" width="21.7109375" style="10" customWidth="1"/>
    <col min="278" max="278" width="3.7109375" style="10" customWidth="1"/>
    <col min="279" max="279" width="21.7109375" style="10" customWidth="1"/>
    <col min="280" max="281" width="17.7109375" style="10" customWidth="1"/>
    <col min="282" max="282" width="21.7109375" style="10" customWidth="1"/>
    <col min="283" max="283" width="9.28515625" style="10"/>
    <col min="284" max="284" width="21.7109375" style="10" customWidth="1"/>
    <col min="285" max="286" width="17.7109375" style="10" customWidth="1"/>
    <col min="287" max="287" width="22.7109375" style="10" customWidth="1"/>
    <col min="288" max="288" width="3.7109375" style="10" customWidth="1"/>
    <col min="289" max="289" width="22.7109375" style="10" customWidth="1"/>
    <col min="290" max="291" width="18.7109375" style="10" customWidth="1"/>
    <col min="292" max="292" width="22.7109375" style="10" customWidth="1"/>
    <col min="293" max="293" width="9.28515625" style="10"/>
    <col min="294" max="294" width="22.7109375" style="10" customWidth="1"/>
    <col min="295" max="296" width="18.7109375" style="10" customWidth="1"/>
    <col min="297" max="297" width="24.5703125" style="10" customWidth="1"/>
    <col min="298" max="298" width="3.7109375" style="10" customWidth="1"/>
    <col min="299" max="299" width="22.7109375" style="10" customWidth="1"/>
    <col min="300" max="301" width="18.7109375" style="10" customWidth="1"/>
    <col min="302" max="302" width="24.5703125" style="10" customWidth="1"/>
    <col min="303" max="303" width="9.28515625" style="10"/>
    <col min="304" max="304" width="22.28515625" style="10" customWidth="1"/>
    <col min="305" max="305" width="17.7109375" style="10" customWidth="1"/>
    <col min="306" max="306" width="17" style="10" customWidth="1"/>
    <col min="307" max="307" width="24" style="10" customWidth="1"/>
    <col min="308" max="308" width="9.28515625" style="10"/>
    <col min="309" max="309" width="22.5703125" style="10" customWidth="1"/>
    <col min="310" max="310" width="9.7109375" style="10" bestFit="1" customWidth="1"/>
    <col min="311" max="311" width="10.28515625" style="10" bestFit="1" customWidth="1"/>
    <col min="312" max="312" width="23.7109375" style="10" customWidth="1"/>
    <col min="313" max="313" width="3.42578125" style="10" customWidth="1"/>
    <col min="314" max="314" width="24.28515625" style="10" customWidth="1"/>
    <col min="315" max="315" width="19.7109375" style="10" customWidth="1"/>
    <col min="316" max="316" width="20.28515625" style="10" customWidth="1"/>
    <col min="317" max="317" width="24.28515625" style="10" customWidth="1"/>
    <col min="318" max="318" width="9.28515625" style="10"/>
    <col min="319" max="319" width="23" style="10" customWidth="1"/>
    <col min="320" max="320" width="15.7109375" style="10" customWidth="1"/>
    <col min="321" max="321" width="14.5703125" style="10" customWidth="1"/>
    <col min="322" max="322" width="23.7109375" style="10" customWidth="1"/>
    <col min="323" max="323" width="9.28515625" style="10"/>
    <col min="324" max="324" width="28.28515625" style="10" customWidth="1"/>
    <col min="325" max="326" width="19.7109375" style="10" customWidth="1"/>
    <col min="327" max="327" width="24.7109375" style="10" customWidth="1"/>
    <col min="328" max="328" width="9.28515625" style="10"/>
    <col min="329" max="329" width="23.28515625" style="10" customWidth="1"/>
    <col min="330" max="330" width="19.28515625" style="10" customWidth="1"/>
    <col min="331" max="331" width="19" style="10" customWidth="1"/>
    <col min="332" max="332" width="24.28515625" style="10" customWidth="1"/>
    <col min="333" max="333" width="4" style="10" customWidth="1"/>
    <col min="334" max="334" width="24" style="10" customWidth="1"/>
    <col min="335" max="336" width="19" style="10" customWidth="1"/>
    <col min="337" max="337" width="25.5703125" style="10" customWidth="1"/>
    <col min="338" max="338" width="9.28515625" style="10"/>
    <col min="339" max="339" width="25.28515625" style="10" customWidth="1"/>
    <col min="340" max="340" width="17.42578125" style="10" customWidth="1"/>
    <col min="341" max="341" width="19.28515625" style="10" customWidth="1"/>
    <col min="342" max="342" width="22.28515625" style="10" customWidth="1"/>
    <col min="343" max="343" width="9.28515625" style="10"/>
    <col min="344" max="344" width="49.28515625" style="10" customWidth="1"/>
    <col min="345" max="345" width="28.42578125" style="10" customWidth="1"/>
    <col min="346" max="346" width="14.7109375" style="10" customWidth="1"/>
    <col min="347" max="347" width="14.28515625" style="10" customWidth="1"/>
    <col min="348" max="348" width="21.42578125" style="10" customWidth="1"/>
    <col min="349" max="349" width="9.28515625" style="10"/>
    <col min="350" max="350" width="21.5703125" style="10" customWidth="1"/>
    <col min="351" max="351" width="15.28515625" style="10" customWidth="1"/>
    <col min="352" max="352" width="13.7109375" style="10" customWidth="1"/>
    <col min="353" max="353" width="23.42578125" style="10" customWidth="1"/>
    <col min="354" max="354" width="9.28515625" style="10"/>
    <col min="355" max="355" width="21.5703125" style="10" customWidth="1"/>
    <col min="356" max="356" width="13.28515625" style="10" customWidth="1"/>
    <col min="357" max="357" width="14.7109375" style="10" customWidth="1"/>
    <col min="358" max="358" width="21.42578125" style="10" customWidth="1"/>
    <col min="359" max="16384" width="9.28515625" style="10"/>
  </cols>
  <sheetData>
    <row r="1" spans="1:402" ht="20.25">
      <c r="A1" s="18" t="s">
        <v>76</v>
      </c>
      <c r="C1" s="607"/>
      <c r="D1" s="607"/>
      <c r="E1" s="607"/>
      <c r="F1" s="607"/>
      <c r="H1" s="607"/>
      <c r="I1" s="607"/>
      <c r="J1" s="607"/>
      <c r="K1" s="607"/>
      <c r="M1" s="607"/>
      <c r="N1" s="607"/>
      <c r="O1" s="607"/>
      <c r="P1" s="607"/>
      <c r="R1" s="607"/>
      <c r="S1" s="607"/>
      <c r="T1" s="607"/>
      <c r="U1" s="607"/>
      <c r="W1" s="607"/>
      <c r="X1" s="607"/>
      <c r="Y1" s="607"/>
      <c r="Z1" s="607"/>
      <c r="AB1" s="607"/>
      <c r="AC1" s="607"/>
      <c r="AD1" s="607"/>
      <c r="AE1" s="607"/>
      <c r="AG1" s="607"/>
      <c r="AH1" s="607"/>
      <c r="AI1" s="607"/>
      <c r="AJ1" s="607"/>
      <c r="AL1" s="607"/>
      <c r="AM1" s="607"/>
      <c r="AN1" s="607"/>
      <c r="AO1" s="607"/>
      <c r="AQ1" s="607"/>
      <c r="AR1" s="607"/>
      <c r="AS1" s="607"/>
      <c r="AT1" s="607"/>
      <c r="AV1" s="607"/>
      <c r="AW1" s="607"/>
      <c r="AX1" s="607"/>
      <c r="AY1" s="607"/>
      <c r="BA1" s="607"/>
      <c r="BB1" s="607"/>
      <c r="BC1" s="607"/>
      <c r="BD1" s="607"/>
      <c r="BF1" s="607"/>
      <c r="BG1" s="607"/>
      <c r="BH1" s="607"/>
      <c r="BI1" s="607"/>
      <c r="BK1" s="607"/>
      <c r="BL1" s="607"/>
      <c r="BM1" s="607"/>
      <c r="BN1" s="607"/>
      <c r="BP1" s="607"/>
      <c r="BQ1" s="607"/>
      <c r="BR1" s="607"/>
      <c r="BS1" s="607"/>
      <c r="BU1" s="58"/>
      <c r="BV1" s="58"/>
      <c r="BW1" s="58"/>
      <c r="BX1" s="58"/>
      <c r="BZ1" s="58"/>
      <c r="CA1" s="58"/>
      <c r="CB1" s="58"/>
      <c r="CC1" s="58"/>
      <c r="CE1" s="58"/>
      <c r="CF1" s="58"/>
      <c r="CG1" s="58"/>
      <c r="CH1" s="58"/>
      <c r="CJ1" s="58"/>
      <c r="CK1" s="58"/>
      <c r="CL1" s="58"/>
      <c r="CM1" s="58"/>
      <c r="CO1" s="58"/>
      <c r="CP1" s="58"/>
      <c r="CQ1" s="58"/>
      <c r="CR1" s="58"/>
      <c r="CT1" s="58"/>
      <c r="CU1" s="58"/>
      <c r="CV1" s="58"/>
      <c r="CW1" s="58"/>
      <c r="CY1" s="58"/>
      <c r="CZ1" s="58"/>
      <c r="DA1" s="58"/>
      <c r="DB1" s="58"/>
      <c r="DD1" s="58"/>
      <c r="DE1" s="58"/>
      <c r="DF1" s="58"/>
      <c r="DG1" s="58"/>
      <c r="DI1" s="58"/>
      <c r="DJ1" s="58"/>
      <c r="DK1" s="58"/>
      <c r="DL1" s="58"/>
      <c r="DN1" s="58"/>
      <c r="DO1" s="58"/>
      <c r="DP1" s="58"/>
      <c r="DQ1" s="58"/>
      <c r="DS1" s="58"/>
      <c r="DT1" s="58"/>
      <c r="DU1" s="58"/>
      <c r="DV1" s="58"/>
      <c r="DX1" s="58"/>
      <c r="DY1" s="58"/>
      <c r="DZ1" s="58"/>
      <c r="EA1" s="58"/>
      <c r="EC1" s="58"/>
      <c r="ED1" s="58"/>
      <c r="EE1" s="58"/>
      <c r="EF1" s="58"/>
      <c r="EH1" s="58"/>
      <c r="EI1" s="58"/>
      <c r="EJ1" s="58"/>
      <c r="EK1" s="58"/>
      <c r="EM1" s="58"/>
      <c r="EN1" s="58"/>
      <c r="EO1" s="58"/>
      <c r="EP1" s="58"/>
      <c r="ER1" s="58"/>
      <c r="ES1" s="58"/>
      <c r="ET1" s="58"/>
      <c r="EU1" s="58"/>
      <c r="EW1" s="58"/>
      <c r="EX1" s="58"/>
      <c r="EY1" s="58"/>
      <c r="EZ1" s="58"/>
      <c r="FB1" s="58"/>
      <c r="FC1" s="58"/>
      <c r="FD1" s="58"/>
      <c r="FE1" s="58"/>
      <c r="FG1" s="58"/>
      <c r="FH1" s="58"/>
      <c r="FI1" s="58"/>
      <c r="FJ1" s="58"/>
      <c r="FL1" s="338"/>
      <c r="FM1" s="338"/>
      <c r="FN1" s="338"/>
      <c r="FO1" s="338"/>
      <c r="FQ1" s="338"/>
      <c r="FR1" s="338"/>
      <c r="FS1" s="338"/>
      <c r="FT1" s="338"/>
      <c r="FV1" s="338"/>
      <c r="FW1" s="338"/>
      <c r="FX1" s="338"/>
      <c r="FY1" s="338"/>
      <c r="GA1" s="338"/>
      <c r="GB1" s="338"/>
      <c r="GC1" s="338"/>
      <c r="GD1" s="338"/>
      <c r="GG1" s="338"/>
      <c r="GH1" s="338"/>
      <c r="GI1" s="338"/>
      <c r="GJ1" s="338"/>
      <c r="GL1" s="338"/>
      <c r="GM1" s="338"/>
      <c r="GN1" s="338"/>
      <c r="GO1" s="338"/>
      <c r="GQ1" s="338"/>
      <c r="GR1" s="338"/>
      <c r="GS1" s="338"/>
      <c r="GT1" s="338"/>
      <c r="GV1" s="338"/>
      <c r="GW1" s="338"/>
      <c r="GX1" s="338"/>
      <c r="GY1" s="338"/>
      <c r="HA1" s="338"/>
      <c r="HB1" s="338"/>
      <c r="HC1" s="338"/>
      <c r="HD1" s="338"/>
      <c r="HF1" s="338"/>
      <c r="HG1" s="338"/>
      <c r="HH1" s="338"/>
      <c r="HI1" s="338"/>
      <c r="HK1" s="338"/>
      <c r="HL1" s="338"/>
      <c r="HM1" s="338"/>
      <c r="HN1" s="338"/>
      <c r="HP1" s="153"/>
      <c r="HQ1" s="153"/>
      <c r="HR1" s="153"/>
      <c r="HS1" s="153"/>
      <c r="HU1" s="153"/>
      <c r="HV1" s="153"/>
      <c r="HW1" s="153"/>
      <c r="HX1" s="153"/>
      <c r="HZ1" s="58"/>
      <c r="IA1" s="58"/>
      <c r="IB1" s="58"/>
      <c r="IC1" s="58"/>
      <c r="IE1" s="58"/>
      <c r="IF1" s="58"/>
      <c r="IG1" s="58"/>
      <c r="IH1" s="58"/>
      <c r="IJ1" s="58"/>
      <c r="IK1" s="58"/>
      <c r="IL1" s="58"/>
      <c r="IM1" s="58"/>
      <c r="IO1" s="58"/>
      <c r="IP1" s="58"/>
      <c r="IQ1" s="58"/>
      <c r="IR1" s="58"/>
      <c r="IS1" s="58"/>
      <c r="IT1" s="58"/>
      <c r="IU1" s="58"/>
      <c r="IV1" s="58"/>
      <c r="IW1" s="58"/>
      <c r="IY1" s="58"/>
      <c r="IZ1" s="58"/>
      <c r="JA1" s="58"/>
      <c r="JB1" s="58"/>
      <c r="JD1" s="58"/>
      <c r="JE1" s="58"/>
      <c r="JF1" s="58"/>
      <c r="JG1" s="58"/>
      <c r="JI1" s="58"/>
      <c r="JJ1" s="58"/>
      <c r="JK1" s="58"/>
      <c r="JL1" s="58"/>
      <c r="JN1" s="58"/>
      <c r="JO1" s="58"/>
      <c r="JP1" s="58"/>
      <c r="JQ1" s="58"/>
      <c r="JS1" s="1"/>
      <c r="JT1" s="1"/>
      <c r="JU1" s="1"/>
      <c r="JV1" s="1"/>
      <c r="JX1" s="58"/>
      <c r="JY1" s="58"/>
      <c r="JZ1" s="58"/>
      <c r="KA1" s="58"/>
      <c r="KC1" s="1"/>
      <c r="KD1" s="1"/>
      <c r="KE1" s="1"/>
      <c r="KF1" s="1"/>
      <c r="KH1" s="58"/>
      <c r="KI1" s="58"/>
      <c r="KJ1" s="58"/>
      <c r="KK1" s="58"/>
      <c r="KM1" s="1"/>
      <c r="KN1" s="1"/>
      <c r="KO1" s="1"/>
      <c r="KP1" s="1"/>
      <c r="KR1" s="1"/>
      <c r="KS1" s="1"/>
      <c r="KT1" s="1"/>
      <c r="KU1" s="1"/>
      <c r="KW1" s="1"/>
      <c r="KX1" s="1"/>
      <c r="KY1" s="1"/>
      <c r="KZ1" s="1"/>
      <c r="LA1" s="58"/>
      <c r="LB1" s="1"/>
      <c r="LC1" s="1"/>
      <c r="LD1" s="1"/>
      <c r="LE1" s="1"/>
      <c r="LF1" s="58"/>
      <c r="LG1" s="1"/>
      <c r="LH1" s="1"/>
      <c r="LI1" s="1"/>
      <c r="LJ1" s="1"/>
      <c r="LL1" s="1"/>
      <c r="LM1" s="1"/>
      <c r="LN1" s="1"/>
      <c r="LO1" s="1"/>
      <c r="LQ1" s="1"/>
      <c r="LR1" s="1"/>
      <c r="LS1" s="1"/>
      <c r="LT1" s="1"/>
      <c r="LV1" s="1"/>
      <c r="LW1" s="1"/>
      <c r="LX1" s="1"/>
      <c r="LY1" s="1"/>
      <c r="MA1" s="1"/>
      <c r="MB1" s="1"/>
      <c r="MC1" s="1"/>
      <c r="MD1" s="1"/>
      <c r="MF1" s="1" t="s">
        <v>76</v>
      </c>
      <c r="MG1" s="6"/>
      <c r="MH1" s="6"/>
      <c r="MI1" s="6"/>
      <c r="MJ1" s="6"/>
      <c r="ML1" s="6"/>
      <c r="MM1" s="6"/>
      <c r="MN1" s="6"/>
      <c r="MO1" s="6"/>
      <c r="MQ1" s="6"/>
      <c r="MR1" s="6"/>
      <c r="MS1" s="6"/>
      <c r="MT1" s="6"/>
    </row>
    <row r="2" spans="1:402" ht="51">
      <c r="A2" s="59" t="s">
        <v>374</v>
      </c>
      <c r="C2" s="608" t="s">
        <v>921</v>
      </c>
      <c r="D2" s="608" t="s">
        <v>922</v>
      </c>
      <c r="E2" s="608" t="s">
        <v>923</v>
      </c>
      <c r="F2" s="60" t="s">
        <v>920</v>
      </c>
      <c r="H2" s="608" t="s">
        <v>917</v>
      </c>
      <c r="I2" s="608" t="s">
        <v>918</v>
      </c>
      <c r="J2" s="608" t="s">
        <v>919</v>
      </c>
      <c r="K2" s="60" t="s">
        <v>920</v>
      </c>
      <c r="M2" s="608" t="s">
        <v>895</v>
      </c>
      <c r="N2" s="608" t="s">
        <v>896</v>
      </c>
      <c r="O2" s="608" t="s">
        <v>897</v>
      </c>
      <c r="P2" s="60" t="s">
        <v>898</v>
      </c>
      <c r="R2" s="608" t="s">
        <v>899</v>
      </c>
      <c r="S2" s="608" t="s">
        <v>900</v>
      </c>
      <c r="T2" s="608" t="s">
        <v>901</v>
      </c>
      <c r="U2" s="60" t="s">
        <v>898</v>
      </c>
      <c r="W2" s="60" t="s">
        <v>877</v>
      </c>
      <c r="X2" s="60" t="s">
        <v>878</v>
      </c>
      <c r="Y2" s="60" t="s">
        <v>879</v>
      </c>
      <c r="Z2" s="60" t="s">
        <v>880</v>
      </c>
      <c r="AB2" s="608" t="s">
        <v>846</v>
      </c>
      <c r="AC2" s="608" t="s">
        <v>847</v>
      </c>
      <c r="AD2" s="608" t="s">
        <v>848</v>
      </c>
      <c r="AE2" s="60" t="s">
        <v>852</v>
      </c>
      <c r="AG2" s="608" t="s">
        <v>853</v>
      </c>
      <c r="AH2" s="608" t="s">
        <v>854</v>
      </c>
      <c r="AI2" s="608" t="s">
        <v>855</v>
      </c>
      <c r="AJ2" s="60" t="s">
        <v>852</v>
      </c>
      <c r="AL2" s="608" t="s">
        <v>828</v>
      </c>
      <c r="AM2" s="608" t="s">
        <v>829</v>
      </c>
      <c r="AN2" s="608" t="s">
        <v>830</v>
      </c>
      <c r="AO2" s="60" t="s">
        <v>827</v>
      </c>
      <c r="AQ2" s="608" t="s">
        <v>824</v>
      </c>
      <c r="AR2" s="608" t="s">
        <v>825</v>
      </c>
      <c r="AS2" s="608" t="s">
        <v>826</v>
      </c>
      <c r="AT2" s="60" t="s">
        <v>827</v>
      </c>
      <c r="AV2" s="608" t="s">
        <v>809</v>
      </c>
      <c r="AW2" s="608" t="s">
        <v>810</v>
      </c>
      <c r="AX2" s="608" t="s">
        <v>811</v>
      </c>
      <c r="AY2" s="60" t="s">
        <v>813</v>
      </c>
      <c r="BA2" s="608" t="s">
        <v>815</v>
      </c>
      <c r="BB2" s="608" t="s">
        <v>816</v>
      </c>
      <c r="BC2" s="608" t="s">
        <v>817</v>
      </c>
      <c r="BD2" s="60" t="s">
        <v>813</v>
      </c>
      <c r="BF2" s="608" t="s">
        <v>788</v>
      </c>
      <c r="BG2" s="608" t="s">
        <v>789</v>
      </c>
      <c r="BH2" s="608" t="s">
        <v>790</v>
      </c>
      <c r="BI2" s="608" t="s">
        <v>792</v>
      </c>
      <c r="BK2" s="608" t="s">
        <v>768</v>
      </c>
      <c r="BL2" s="608" t="s">
        <v>769</v>
      </c>
      <c r="BM2" s="608" t="s">
        <v>770</v>
      </c>
      <c r="BN2" s="608" t="s">
        <v>777</v>
      </c>
      <c r="BP2" s="608" t="s">
        <v>771</v>
      </c>
      <c r="BQ2" s="608" t="s">
        <v>772</v>
      </c>
      <c r="BR2" s="608" t="s">
        <v>773</v>
      </c>
      <c r="BS2" s="608" t="str">
        <f>BN2</f>
        <v>Aktywa ogółem na dzień 
31 grudnia2022 / Total assets as of 31.12.2022</v>
      </c>
      <c r="BU2" s="60" t="s">
        <v>736</v>
      </c>
      <c r="BV2" s="60" t="s">
        <v>737</v>
      </c>
      <c r="BW2" s="60" t="s">
        <v>738</v>
      </c>
      <c r="BX2" s="60" t="s">
        <v>739</v>
      </c>
      <c r="BZ2" s="60" t="s">
        <v>740</v>
      </c>
      <c r="CA2" s="60" t="s">
        <v>741</v>
      </c>
      <c r="CB2" s="60" t="s">
        <v>742</v>
      </c>
      <c r="CC2" s="60" t="str">
        <f>BX2</f>
        <v>Aktywa ogółem na dzień 
30 września 2022 / Total assets as of 30.09.2022</v>
      </c>
      <c r="CE2" s="60" t="s">
        <v>723</v>
      </c>
      <c r="CF2" s="60" t="s">
        <v>724</v>
      </c>
      <c r="CG2" s="60" t="s">
        <v>725</v>
      </c>
      <c r="CH2" s="60" t="s">
        <v>721</v>
      </c>
      <c r="CJ2" s="60" t="s">
        <v>718</v>
      </c>
      <c r="CK2" s="60" t="s">
        <v>719</v>
      </c>
      <c r="CL2" s="60" t="s">
        <v>720</v>
      </c>
      <c r="CM2" s="60" t="s">
        <v>721</v>
      </c>
      <c r="CO2" s="60" t="s">
        <v>705</v>
      </c>
      <c r="CP2" s="60" t="s">
        <v>706</v>
      </c>
      <c r="CQ2" s="60" t="s">
        <v>707</v>
      </c>
      <c r="CR2" s="60" t="s">
        <v>708</v>
      </c>
      <c r="CT2" s="60" t="s">
        <v>673</v>
      </c>
      <c r="CU2" s="60" t="s">
        <v>674</v>
      </c>
      <c r="CV2" s="60" t="s">
        <v>675</v>
      </c>
      <c r="CW2" s="60" t="s">
        <v>680</v>
      </c>
      <c r="CY2" s="60" t="s">
        <v>671</v>
      </c>
      <c r="CZ2" s="60" t="s">
        <v>672</v>
      </c>
      <c r="DA2" s="60" t="s">
        <v>676</v>
      </c>
      <c r="DB2" s="60" t="str">
        <f>CW2</f>
        <v>Aktywa ogółem na dzień 
31 grudnia 2021 / Total assets as of 31.12.2021</v>
      </c>
      <c r="DD2" s="60" t="s">
        <v>657</v>
      </c>
      <c r="DE2" s="60" t="s">
        <v>658</v>
      </c>
      <c r="DF2" s="60" t="s">
        <v>659</v>
      </c>
      <c r="DG2" s="60" t="s">
        <v>660</v>
      </c>
      <c r="DI2" s="60" t="s">
        <v>661</v>
      </c>
      <c r="DJ2" s="60" t="s">
        <v>662</v>
      </c>
      <c r="DK2" s="60" t="s">
        <v>663</v>
      </c>
      <c r="DL2" s="60" t="str">
        <f>DG2</f>
        <v>Aktywa ogółem na dzień 
30 września 2021 / Total assets as of 30.09.2021</v>
      </c>
      <c r="DN2" s="60" t="s">
        <v>648</v>
      </c>
      <c r="DO2" s="60" t="s">
        <v>649</v>
      </c>
      <c r="DP2" s="60" t="s">
        <v>650</v>
      </c>
      <c r="DQ2" s="60" t="s">
        <v>651</v>
      </c>
      <c r="DS2" s="60" t="s">
        <v>645</v>
      </c>
      <c r="DT2" s="60" t="s">
        <v>646</v>
      </c>
      <c r="DU2" s="60" t="s">
        <v>647</v>
      </c>
      <c r="DV2" s="60" t="str">
        <f>DQ2</f>
        <v>Aktywa ogółem na dzień 
30 czerwca 2021 / Total assets as of 30.06.2021</v>
      </c>
      <c r="DX2" s="60" t="s">
        <v>637</v>
      </c>
      <c r="DY2" s="60" t="s">
        <v>638</v>
      </c>
      <c r="DZ2" s="60" t="s">
        <v>639</v>
      </c>
      <c r="EA2" s="60" t="s">
        <v>640</v>
      </c>
      <c r="EC2" s="60" t="s">
        <v>616</v>
      </c>
      <c r="ED2" s="60" t="s">
        <v>617</v>
      </c>
      <c r="EE2" s="60" t="s">
        <v>618</v>
      </c>
      <c r="EF2" s="60" t="s">
        <v>625</v>
      </c>
      <c r="EH2" s="60" t="s">
        <v>619</v>
      </c>
      <c r="EI2" s="60" t="s">
        <v>620</v>
      </c>
      <c r="EJ2" s="60" t="s">
        <v>621</v>
      </c>
      <c r="EK2" s="60" t="str">
        <f>EF2</f>
        <v>Aktywa ogółem na dzień 
31 grudnia 2020 / Total assets as of 31.12.2020</v>
      </c>
      <c r="EM2" s="60" t="s">
        <v>601</v>
      </c>
      <c r="EN2" s="60" t="s">
        <v>602</v>
      </c>
      <c r="EO2" s="60" t="s">
        <v>603</v>
      </c>
      <c r="EP2" s="60" t="s">
        <v>604</v>
      </c>
      <c r="ER2" s="60" t="s">
        <v>605</v>
      </c>
      <c r="ES2" s="60" t="s">
        <v>606</v>
      </c>
      <c r="ET2" s="60" t="s">
        <v>607</v>
      </c>
      <c r="EU2" s="60" t="str">
        <f>EP2</f>
        <v>Aktywa ogółem na dzień 
30 września 2020 / Total assets as of 30.09.2020</v>
      </c>
      <c r="EW2" s="60" t="s">
        <v>594</v>
      </c>
      <c r="EX2" s="60" t="s">
        <v>595</v>
      </c>
      <c r="EY2" s="60" t="s">
        <v>596</v>
      </c>
      <c r="EZ2" s="60" t="s">
        <v>597</v>
      </c>
      <c r="FB2" s="60" t="s">
        <v>589</v>
      </c>
      <c r="FC2" s="60" t="s">
        <v>591</v>
      </c>
      <c r="FD2" s="60" t="s">
        <v>592</v>
      </c>
      <c r="FE2" s="60" t="s">
        <v>597</v>
      </c>
      <c r="FG2" s="60" t="s">
        <v>579</v>
      </c>
      <c r="FH2" s="60" t="s">
        <v>580</v>
      </c>
      <c r="FI2" s="60" t="s">
        <v>581</v>
      </c>
      <c r="FJ2" s="60" t="s">
        <v>582</v>
      </c>
      <c r="FL2" s="340" t="s">
        <v>569</v>
      </c>
      <c r="FM2" s="340" t="s">
        <v>570</v>
      </c>
      <c r="FN2" s="340" t="s">
        <v>571</v>
      </c>
      <c r="FO2" s="340" t="s">
        <v>572</v>
      </c>
      <c r="FQ2" s="340" t="s">
        <v>573</v>
      </c>
      <c r="FR2" s="340" t="s">
        <v>574</v>
      </c>
      <c r="FS2" s="340" t="s">
        <v>575</v>
      </c>
      <c r="FT2" s="340" t="s">
        <v>572</v>
      </c>
      <c r="FV2" s="340" t="s">
        <v>554</v>
      </c>
      <c r="FW2" s="340" t="s">
        <v>555</v>
      </c>
      <c r="FX2" s="340" t="s">
        <v>556</v>
      </c>
      <c r="FY2" s="340" t="s">
        <v>557</v>
      </c>
      <c r="GA2" s="340" t="s">
        <v>558</v>
      </c>
      <c r="GB2" s="340" t="s">
        <v>559</v>
      </c>
      <c r="GC2" s="340" t="s">
        <v>560</v>
      </c>
      <c r="GD2" s="340" t="s">
        <v>557</v>
      </c>
      <c r="GG2" s="340" t="s">
        <v>546</v>
      </c>
      <c r="GH2" s="340" t="s">
        <v>547</v>
      </c>
      <c r="GI2" s="340" t="s">
        <v>548</v>
      </c>
      <c r="GJ2" s="340" t="s">
        <v>541</v>
      </c>
      <c r="GL2" s="340" t="s">
        <v>542</v>
      </c>
      <c r="GM2" s="340" t="s">
        <v>543</v>
      </c>
      <c r="GN2" s="340" t="s">
        <v>544</v>
      </c>
      <c r="GO2" s="340" t="s">
        <v>541</v>
      </c>
      <c r="GQ2" s="340" t="s">
        <v>531</v>
      </c>
      <c r="GR2" s="340" t="s">
        <v>532</v>
      </c>
      <c r="GS2" s="340" t="s">
        <v>533</v>
      </c>
      <c r="GT2" s="340" t="s">
        <v>534</v>
      </c>
      <c r="GV2" s="340" t="s">
        <v>518</v>
      </c>
      <c r="GW2" s="340" t="s">
        <v>519</v>
      </c>
      <c r="GX2" s="340" t="s">
        <v>520</v>
      </c>
      <c r="GY2" s="340" t="s">
        <v>521</v>
      </c>
      <c r="HA2" s="340" t="s">
        <v>524</v>
      </c>
      <c r="HB2" s="340" t="s">
        <v>525</v>
      </c>
      <c r="HC2" s="340" t="s">
        <v>526</v>
      </c>
      <c r="HD2" s="340" t="s">
        <v>506</v>
      </c>
      <c r="HF2" s="340" t="s">
        <v>503</v>
      </c>
      <c r="HG2" s="340" t="s">
        <v>504</v>
      </c>
      <c r="HH2" s="340" t="s">
        <v>505</v>
      </c>
      <c r="HI2" s="340" t="s">
        <v>506</v>
      </c>
      <c r="HK2" s="340" t="s">
        <v>507</v>
      </c>
      <c r="HL2" s="340" t="s">
        <v>508</v>
      </c>
      <c r="HM2" s="340" t="s">
        <v>509</v>
      </c>
      <c r="HN2" s="340" t="s">
        <v>506</v>
      </c>
      <c r="HP2" s="177" t="s">
        <v>494</v>
      </c>
      <c r="HQ2" s="177" t="s">
        <v>495</v>
      </c>
      <c r="HR2" s="177" t="s">
        <v>496</v>
      </c>
      <c r="HS2" s="177" t="s">
        <v>462</v>
      </c>
      <c r="HU2" s="177" t="s">
        <v>459</v>
      </c>
      <c r="HV2" s="177" t="s">
        <v>460</v>
      </c>
      <c r="HW2" s="177" t="s">
        <v>461</v>
      </c>
      <c r="HX2" s="177" t="s">
        <v>462</v>
      </c>
      <c r="HZ2" s="177" t="s">
        <v>109</v>
      </c>
      <c r="IA2" s="177" t="s">
        <v>110</v>
      </c>
      <c r="IB2" s="177" t="s">
        <v>112</v>
      </c>
      <c r="IC2" s="177" t="s">
        <v>114</v>
      </c>
      <c r="IE2" s="177" t="s">
        <v>201</v>
      </c>
      <c r="IF2" s="177" t="s">
        <v>123</v>
      </c>
      <c r="IG2" s="177" t="s">
        <v>124</v>
      </c>
      <c r="IH2" s="177" t="s">
        <v>128</v>
      </c>
      <c r="IJ2" s="177" t="s">
        <v>116</v>
      </c>
      <c r="IK2" s="177" t="s">
        <v>117</v>
      </c>
      <c r="IL2" s="177" t="s">
        <v>119</v>
      </c>
      <c r="IM2" s="177" t="s">
        <v>121</v>
      </c>
      <c r="IN2" s="157"/>
      <c r="IO2" s="177" t="s">
        <v>365</v>
      </c>
      <c r="IP2" s="177" t="s">
        <v>368</v>
      </c>
      <c r="IQ2" s="177" t="s">
        <v>369</v>
      </c>
      <c r="IR2" s="177" t="s">
        <v>134</v>
      </c>
      <c r="IS2" s="177"/>
      <c r="IT2" s="177" t="s">
        <v>129</v>
      </c>
      <c r="IU2" s="177" t="s">
        <v>130</v>
      </c>
      <c r="IV2" s="177" t="s">
        <v>132</v>
      </c>
      <c r="IW2" s="177" t="s">
        <v>134</v>
      </c>
      <c r="IX2" s="157"/>
      <c r="IY2" s="177" t="s">
        <v>144</v>
      </c>
      <c r="IZ2" s="177" t="s">
        <v>146</v>
      </c>
      <c r="JA2" s="177" t="s">
        <v>148</v>
      </c>
      <c r="JB2" s="177" t="s">
        <v>142</v>
      </c>
      <c r="JC2" s="157"/>
      <c r="JD2" s="177" t="s">
        <v>136</v>
      </c>
      <c r="JE2" s="177" t="s">
        <v>138</v>
      </c>
      <c r="JF2" s="177" t="s">
        <v>140</v>
      </c>
      <c r="JG2" s="177" t="s">
        <v>142</v>
      </c>
      <c r="JH2" s="157"/>
      <c r="JI2" s="177" t="s">
        <v>150</v>
      </c>
      <c r="JJ2" s="177" t="s">
        <v>152</v>
      </c>
      <c r="JK2" s="177" t="s">
        <v>113</v>
      </c>
      <c r="JL2" s="177" t="s">
        <v>115</v>
      </c>
      <c r="JM2" s="157"/>
      <c r="JN2" s="177" t="s">
        <v>155</v>
      </c>
      <c r="JO2" s="177" t="s">
        <v>125</v>
      </c>
      <c r="JP2" s="177" t="s">
        <v>126</v>
      </c>
      <c r="JQ2" s="177" t="s">
        <v>143</v>
      </c>
      <c r="JR2" s="157"/>
      <c r="JS2" s="177" t="s">
        <v>493</v>
      </c>
      <c r="JT2" s="177" t="s">
        <v>334</v>
      </c>
      <c r="JU2" s="177" t="s">
        <v>492</v>
      </c>
      <c r="JV2" s="177" t="s">
        <v>143</v>
      </c>
      <c r="JW2" s="157"/>
      <c r="JX2" s="177" t="s">
        <v>335</v>
      </c>
      <c r="JY2" s="177" t="s">
        <v>336</v>
      </c>
      <c r="JZ2" s="177" t="s">
        <v>337</v>
      </c>
      <c r="KA2" s="177" t="s">
        <v>135</v>
      </c>
      <c r="KB2" s="157"/>
      <c r="KC2" s="177" t="s">
        <v>341</v>
      </c>
      <c r="KD2" s="177" t="s">
        <v>342</v>
      </c>
      <c r="KE2" s="177" t="s">
        <v>491</v>
      </c>
      <c r="KF2" s="177" t="s">
        <v>135</v>
      </c>
      <c r="KG2" s="157"/>
      <c r="KH2" s="177" t="s">
        <v>346</v>
      </c>
      <c r="KI2" s="177" t="s">
        <v>490</v>
      </c>
      <c r="KJ2" s="177" t="s">
        <v>489</v>
      </c>
      <c r="KK2" s="177" t="s">
        <v>161</v>
      </c>
      <c r="KL2" s="157"/>
      <c r="KM2" s="177" t="s">
        <v>137</v>
      </c>
      <c r="KN2" s="177" t="s">
        <v>347</v>
      </c>
      <c r="KO2" s="177" t="s">
        <v>488</v>
      </c>
      <c r="KP2" s="177" t="s">
        <v>161</v>
      </c>
      <c r="KQ2" s="157"/>
      <c r="KR2" s="177" t="s">
        <v>151</v>
      </c>
      <c r="KS2" s="177" t="s">
        <v>350</v>
      </c>
      <c r="KT2" s="177" t="s">
        <v>487</v>
      </c>
      <c r="KU2" s="177" t="s">
        <v>164</v>
      </c>
      <c r="KV2" s="157"/>
      <c r="KW2" s="177" t="s">
        <v>165</v>
      </c>
      <c r="KX2" s="177" t="s">
        <v>166</v>
      </c>
      <c r="KY2" s="177" t="s">
        <v>167</v>
      </c>
      <c r="KZ2" s="177" t="s">
        <v>168</v>
      </c>
      <c r="LA2" s="157"/>
      <c r="LB2" s="177" t="s">
        <v>485</v>
      </c>
      <c r="LC2" s="177" t="s">
        <v>483</v>
      </c>
      <c r="LD2" s="177" t="s">
        <v>481</v>
      </c>
      <c r="LE2" s="177" t="s">
        <v>168</v>
      </c>
      <c r="LF2" s="178"/>
      <c r="LG2" s="177" t="s">
        <v>353</v>
      </c>
      <c r="LH2" s="177" t="s">
        <v>357</v>
      </c>
      <c r="LI2" s="177" t="s">
        <v>371</v>
      </c>
      <c r="LJ2" s="177" t="s">
        <v>160</v>
      </c>
      <c r="LK2" s="157"/>
      <c r="LL2" s="177" t="s">
        <v>479</v>
      </c>
      <c r="LM2" s="177" t="s">
        <v>477</v>
      </c>
      <c r="LN2" s="177" t="s">
        <v>475</v>
      </c>
      <c r="LO2" s="177" t="s">
        <v>160</v>
      </c>
      <c r="LP2" s="157"/>
      <c r="LQ2" s="177" t="s">
        <v>345</v>
      </c>
      <c r="LR2" s="177" t="s">
        <v>473</v>
      </c>
      <c r="LS2" s="177" t="s">
        <v>471</v>
      </c>
      <c r="LT2" s="177" t="s">
        <v>174</v>
      </c>
      <c r="LU2" s="157"/>
      <c r="LV2" s="177" t="s">
        <v>469</v>
      </c>
      <c r="LW2" s="177" t="s">
        <v>465</v>
      </c>
      <c r="LX2" s="177" t="s">
        <v>466</v>
      </c>
      <c r="LY2" s="177" t="s">
        <v>174</v>
      </c>
      <c r="LZ2" s="157"/>
      <c r="MA2" s="177" t="s">
        <v>463</v>
      </c>
      <c r="MB2" s="177" t="s">
        <v>359</v>
      </c>
      <c r="MC2" s="177" t="s">
        <v>464</v>
      </c>
      <c r="MD2" s="177" t="s">
        <v>176</v>
      </c>
      <c r="ME2" s="157"/>
      <c r="MF2" s="178" t="s">
        <v>374</v>
      </c>
      <c r="MG2" s="179" t="s">
        <v>178</v>
      </c>
      <c r="MH2" s="179" t="s">
        <v>89</v>
      </c>
      <c r="MI2" s="179" t="s">
        <v>90</v>
      </c>
      <c r="MJ2" s="179" t="s">
        <v>179</v>
      </c>
      <c r="MK2" s="157"/>
      <c r="ML2" s="179" t="s">
        <v>354</v>
      </c>
      <c r="MM2" s="179" t="s">
        <v>96</v>
      </c>
      <c r="MN2" s="179" t="s">
        <v>97</v>
      </c>
      <c r="MO2" s="179" t="s">
        <v>191</v>
      </c>
      <c r="MP2" s="157"/>
      <c r="MQ2" s="179" t="s">
        <v>195</v>
      </c>
      <c r="MR2" s="179" t="s">
        <v>104</v>
      </c>
      <c r="MS2" s="179" t="s">
        <v>105</v>
      </c>
      <c r="MT2" s="179" t="s">
        <v>196</v>
      </c>
      <c r="MU2" s="157"/>
      <c r="MV2" s="157"/>
      <c r="MW2" s="157"/>
      <c r="MX2" s="157"/>
      <c r="MY2" s="157"/>
      <c r="MZ2" s="157"/>
      <c r="NA2" s="157"/>
      <c r="NB2" s="157"/>
      <c r="NC2" s="157"/>
      <c r="ND2" s="157"/>
      <c r="NE2" s="157"/>
      <c r="NF2" s="157"/>
      <c r="NG2" s="157"/>
      <c r="NH2" s="157"/>
      <c r="NI2" s="157"/>
      <c r="NJ2" s="157"/>
      <c r="NK2" s="157"/>
      <c r="NL2" s="157"/>
      <c r="NM2" s="157"/>
      <c r="NN2" s="157"/>
      <c r="NO2" s="157"/>
      <c r="NP2" s="157"/>
      <c r="NQ2" s="157"/>
      <c r="NR2" s="157"/>
      <c r="NS2" s="157"/>
      <c r="NT2" s="157"/>
      <c r="NU2" s="157"/>
      <c r="NV2" s="157"/>
      <c r="NW2" s="157"/>
      <c r="NX2" s="157"/>
      <c r="NY2" s="157"/>
      <c r="NZ2" s="157"/>
      <c r="OA2" s="157"/>
      <c r="OB2" s="157"/>
      <c r="OC2" s="157"/>
      <c r="OD2" s="157"/>
      <c r="OE2" s="157"/>
      <c r="OF2" s="157"/>
      <c r="OG2" s="157"/>
      <c r="OH2" s="157"/>
      <c r="OI2" s="157"/>
      <c r="OJ2" s="157"/>
      <c r="OK2" s="157"/>
      <c r="OL2" s="157"/>
    </row>
    <row r="3" spans="1:402">
      <c r="A3" s="306" t="s">
        <v>77</v>
      </c>
      <c r="C3" s="609"/>
      <c r="D3" s="609"/>
      <c r="E3" s="609"/>
      <c r="F3" s="609"/>
      <c r="H3" s="609"/>
      <c r="I3" s="609"/>
      <c r="J3" s="609"/>
      <c r="K3" s="609"/>
      <c r="M3" s="609"/>
      <c r="N3" s="609"/>
      <c r="O3" s="609"/>
      <c r="P3" s="609"/>
      <c r="R3" s="609"/>
      <c r="S3" s="609"/>
      <c r="T3" s="609"/>
      <c r="U3" s="609"/>
      <c r="W3" s="609"/>
      <c r="X3" s="609"/>
      <c r="Y3" s="609"/>
      <c r="Z3" s="609"/>
      <c r="AB3" s="609"/>
      <c r="AC3" s="609"/>
      <c r="AD3" s="609"/>
      <c r="AE3" s="609"/>
      <c r="AG3" s="609"/>
      <c r="AH3" s="609"/>
      <c r="AI3" s="609"/>
      <c r="AJ3" s="609"/>
      <c r="AL3" s="609"/>
      <c r="AM3" s="609"/>
      <c r="AN3" s="609"/>
      <c r="AO3" s="609"/>
      <c r="AQ3" s="609"/>
      <c r="AR3" s="609"/>
      <c r="AS3" s="609"/>
      <c r="AT3" s="609"/>
      <c r="AV3" s="609"/>
      <c r="AW3" s="609"/>
      <c r="AX3" s="609"/>
      <c r="AY3" s="609"/>
      <c r="BA3" s="609"/>
      <c r="BB3" s="609"/>
      <c r="BC3" s="609"/>
      <c r="BD3" s="609"/>
      <c r="BF3" s="609"/>
      <c r="BG3" s="609"/>
      <c r="BH3" s="609"/>
      <c r="BI3" s="609"/>
      <c r="BK3" s="609">
        <v>0</v>
      </c>
      <c r="BL3" s="609">
        <v>0</v>
      </c>
      <c r="BM3" s="609">
        <v>0</v>
      </c>
      <c r="BN3" s="609">
        <v>0</v>
      </c>
      <c r="BP3" s="609"/>
      <c r="BQ3" s="609"/>
      <c r="BR3" s="609"/>
      <c r="BS3" s="609"/>
      <c r="BU3" s="336">
        <v>444000</v>
      </c>
      <c r="BV3" s="336">
        <v>-53000</v>
      </c>
      <c r="BW3" s="336">
        <v>-81000</v>
      </c>
      <c r="BX3" s="336">
        <f t="shared" ref="BX3:BX9" si="0">CC3</f>
        <v>900000</v>
      </c>
      <c r="BZ3" s="336">
        <v>1639000</v>
      </c>
      <c r="CA3" s="336">
        <v>271000</v>
      </c>
      <c r="CB3" s="336">
        <v>57000</v>
      </c>
      <c r="CC3" s="336">
        <v>900000</v>
      </c>
      <c r="CE3" s="336">
        <f t="shared" ref="CE3:CG9" si="1">CJ3-CO3</f>
        <v>637000</v>
      </c>
      <c r="CF3" s="336">
        <f t="shared" si="1"/>
        <v>207000</v>
      </c>
      <c r="CG3" s="336">
        <f t="shared" si="1"/>
        <v>73000</v>
      </c>
      <c r="CH3" s="336">
        <v>766000</v>
      </c>
      <c r="CJ3" s="336">
        <v>1195000</v>
      </c>
      <c r="CK3" s="336">
        <v>324000</v>
      </c>
      <c r="CL3" s="336">
        <v>138000</v>
      </c>
      <c r="CM3" s="336">
        <v>766000</v>
      </c>
      <c r="CO3" s="336">
        <v>558000</v>
      </c>
      <c r="CP3" s="336">
        <v>117000</v>
      </c>
      <c r="CQ3" s="336">
        <v>65000</v>
      </c>
      <c r="CR3" s="336">
        <v>915000</v>
      </c>
      <c r="CT3" s="336">
        <f t="shared" ref="CT3:CV9" si="2">CY3-DI3</f>
        <v>476951</v>
      </c>
      <c r="CU3" s="336">
        <f t="shared" si="2"/>
        <v>44292</v>
      </c>
      <c r="CV3" s="336">
        <f t="shared" si="2"/>
        <v>1650</v>
      </c>
      <c r="CW3" s="336">
        <f t="shared" ref="CW3:CW9" si="3">DB3</f>
        <v>899000</v>
      </c>
      <c r="CY3" s="336">
        <v>1467000</v>
      </c>
      <c r="CZ3" s="336">
        <v>-130000</v>
      </c>
      <c r="DA3" s="336">
        <v>-458000</v>
      </c>
      <c r="DB3" s="336">
        <v>899000</v>
      </c>
      <c r="DD3" s="336">
        <f t="shared" ref="DD3:DF9" si="4">DI3-DS3</f>
        <v>410046</v>
      </c>
      <c r="DE3" s="336">
        <f t="shared" si="4"/>
        <v>-128865</v>
      </c>
      <c r="DF3" s="336">
        <f t="shared" si="4"/>
        <v>-138814</v>
      </c>
      <c r="DG3" s="336">
        <f t="shared" ref="DG3:DG9" si="5">DL3</f>
        <v>913954</v>
      </c>
      <c r="DI3" s="336">
        <v>990049</v>
      </c>
      <c r="DJ3" s="336">
        <v>-174292</v>
      </c>
      <c r="DK3" s="336">
        <v>-459650</v>
      </c>
      <c r="DL3" s="336">
        <v>913954</v>
      </c>
      <c r="DN3" s="336">
        <f t="shared" ref="DN3:DP9" si="6">DS3-DX3</f>
        <v>277409</v>
      </c>
      <c r="DO3" s="336">
        <f t="shared" si="6"/>
        <v>-31805</v>
      </c>
      <c r="DP3" s="336">
        <f t="shared" si="6"/>
        <v>-270980</v>
      </c>
      <c r="DQ3" s="336">
        <f t="shared" ref="DQ3:DQ9" si="7">DV3</f>
        <v>992426</v>
      </c>
      <c r="DS3" s="336">
        <v>580003</v>
      </c>
      <c r="DT3" s="336">
        <v>-45427</v>
      </c>
      <c r="DU3" s="336">
        <v>-320836</v>
      </c>
      <c r="DV3" s="336">
        <v>992426</v>
      </c>
      <c r="DX3" s="336">
        <v>302594</v>
      </c>
      <c r="DY3" s="336">
        <v>-13622</v>
      </c>
      <c r="DZ3" s="336">
        <v>-49856</v>
      </c>
      <c r="EA3" s="336">
        <v>1170623</v>
      </c>
      <c r="EC3" s="336">
        <f t="shared" ref="EC3:EE10" si="8">EH3-ER3</f>
        <v>263199</v>
      </c>
      <c r="ED3" s="336">
        <f t="shared" si="8"/>
        <v>-124915</v>
      </c>
      <c r="EE3" s="336">
        <f t="shared" si="8"/>
        <v>-538919</v>
      </c>
      <c r="EF3" s="336">
        <f t="shared" ref="EF3:EF10" si="9">EK3</f>
        <v>1115883</v>
      </c>
      <c r="EH3" s="336">
        <v>1051923</v>
      </c>
      <c r="EI3" s="336">
        <v>-157321</v>
      </c>
      <c r="EJ3" s="336">
        <v>-886665</v>
      </c>
      <c r="EK3" s="336">
        <v>1115883</v>
      </c>
      <c r="EM3" s="336">
        <v>285753</v>
      </c>
      <c r="EN3" s="336">
        <v>-39185</v>
      </c>
      <c r="EO3" s="336">
        <v>-76441</v>
      </c>
      <c r="EP3" s="336">
        <f t="shared" ref="EP3:EP10" si="10">EU3</f>
        <v>1441598</v>
      </c>
      <c r="ER3" s="336">
        <v>788724</v>
      </c>
      <c r="ES3" s="336">
        <v>-32406</v>
      </c>
      <c r="ET3" s="336">
        <v>-347746</v>
      </c>
      <c r="EU3" s="336">
        <v>1441598</v>
      </c>
      <c r="EW3" s="336">
        <f t="shared" ref="EW3:EY10" si="11">FB3-FG3</f>
        <v>266547</v>
      </c>
      <c r="EX3" s="337">
        <f t="shared" si="11"/>
        <v>43134</v>
      </c>
      <c r="EY3" s="336">
        <f t="shared" si="11"/>
        <v>-187414</v>
      </c>
      <c r="EZ3" s="336">
        <v>1390938</v>
      </c>
      <c r="FB3" s="336">
        <v>502971</v>
      </c>
      <c r="FC3" s="337">
        <v>6779</v>
      </c>
      <c r="FD3" s="336">
        <v>-271305</v>
      </c>
      <c r="FE3" s="336">
        <v>1390938</v>
      </c>
      <c r="FG3" s="336">
        <v>236424</v>
      </c>
      <c r="FH3" s="337">
        <v>-36355</v>
      </c>
      <c r="FI3" s="336">
        <v>-83891</v>
      </c>
      <c r="FJ3" s="336">
        <v>1407752</v>
      </c>
      <c r="FL3" s="341">
        <v>944433</v>
      </c>
      <c r="FM3" s="342">
        <v>-499865</v>
      </c>
      <c r="FN3" s="341">
        <v>-1391949</v>
      </c>
      <c r="FO3" s="341">
        <v>1294329</v>
      </c>
      <c r="FQ3" s="341">
        <v>211025</v>
      </c>
      <c r="FR3" s="342">
        <v>-238211</v>
      </c>
      <c r="FS3" s="341">
        <v>-715608</v>
      </c>
      <c r="FT3" s="341">
        <v>1294329</v>
      </c>
      <c r="FV3" s="341">
        <v>733408</v>
      </c>
      <c r="FW3" s="342">
        <v>-261654</v>
      </c>
      <c r="FX3" s="341">
        <v>-676341</v>
      </c>
      <c r="FY3" s="341">
        <v>1608857</v>
      </c>
      <c r="GA3" s="341">
        <v>201718</v>
      </c>
      <c r="GB3" s="342">
        <v>-118717</v>
      </c>
      <c r="GC3" s="341">
        <v>-165004</v>
      </c>
      <c r="GD3" s="341">
        <v>1608857</v>
      </c>
      <c r="GG3" s="341">
        <v>531690</v>
      </c>
      <c r="GH3" s="342">
        <v>-142937</v>
      </c>
      <c r="GI3" s="341">
        <v>-511337</v>
      </c>
      <c r="GJ3" s="341">
        <v>1544654</v>
      </c>
      <c r="GL3" s="341">
        <v>239824</v>
      </c>
      <c r="GM3" s="342">
        <v>-98651</v>
      </c>
      <c r="GN3" s="341">
        <v>-415418</v>
      </c>
      <c r="GO3" s="341">
        <v>1544654</v>
      </c>
      <c r="GQ3" s="341">
        <v>291866</v>
      </c>
      <c r="GR3" s="342">
        <v>-44286</v>
      </c>
      <c r="GS3" s="341">
        <v>-95919</v>
      </c>
      <c r="GT3" s="341">
        <v>1743682</v>
      </c>
      <c r="GV3" s="341">
        <v>1266024</v>
      </c>
      <c r="GW3" s="341">
        <v>-207181</v>
      </c>
      <c r="GX3" s="341">
        <v>-1053469</v>
      </c>
      <c r="GY3" s="341">
        <v>1589823</v>
      </c>
      <c r="HA3" s="341">
        <v>314649</v>
      </c>
      <c r="HB3" s="342">
        <v>-112725</v>
      </c>
      <c r="HC3" s="341">
        <v>-136788</v>
      </c>
      <c r="HD3" s="341">
        <v>1589823</v>
      </c>
      <c r="HF3" s="341">
        <v>951375</v>
      </c>
      <c r="HG3" s="342">
        <v>-94456</v>
      </c>
      <c r="HH3" s="341">
        <v>-916681</v>
      </c>
      <c r="HI3" s="341">
        <v>1487764</v>
      </c>
      <c r="HK3" s="341">
        <v>272589</v>
      </c>
      <c r="HL3" s="342">
        <v>-28789</v>
      </c>
      <c r="HM3" s="341">
        <v>-50515</v>
      </c>
      <c r="HN3" s="341">
        <v>1487764</v>
      </c>
      <c r="HP3" s="166">
        <v>678786</v>
      </c>
      <c r="HQ3" s="319">
        <v>-65667</v>
      </c>
      <c r="HR3" s="166">
        <v>-866166</v>
      </c>
      <c r="HS3" s="166">
        <v>1397631</v>
      </c>
      <c r="HU3" s="166">
        <v>293543</v>
      </c>
      <c r="HV3" s="319">
        <v>-76005</v>
      </c>
      <c r="HW3" s="166">
        <v>-842790</v>
      </c>
      <c r="HX3" s="166">
        <v>1397631</v>
      </c>
      <c r="HZ3" s="156">
        <v>385243</v>
      </c>
      <c r="IA3" s="183">
        <v>10338</v>
      </c>
      <c r="IB3" s="156">
        <v>-23376</v>
      </c>
      <c r="IC3" s="156">
        <v>2126068</v>
      </c>
      <c r="IE3" s="156">
        <v>1541425</v>
      </c>
      <c r="IF3" s="156">
        <v>-83036</v>
      </c>
      <c r="IG3" s="156">
        <v>-211070</v>
      </c>
      <c r="IH3" s="156">
        <v>2085538</v>
      </c>
      <c r="IJ3" s="156">
        <v>422958</v>
      </c>
      <c r="IK3" s="183">
        <v>-41352</v>
      </c>
      <c r="IL3" s="156">
        <v>-75834</v>
      </c>
      <c r="IM3" s="156">
        <v>2085538</v>
      </c>
      <c r="IN3" s="157"/>
      <c r="IO3" s="156">
        <v>1118467</v>
      </c>
      <c r="IP3" s="156">
        <v>-41684</v>
      </c>
      <c r="IQ3" s="156">
        <v>-135236</v>
      </c>
      <c r="IR3" s="156">
        <v>2009687</v>
      </c>
      <c r="IS3" s="156"/>
      <c r="IT3" s="156">
        <v>336783</v>
      </c>
      <c r="IU3" s="156">
        <v>-36968</v>
      </c>
      <c r="IV3" s="156">
        <v>-69420</v>
      </c>
      <c r="IW3" s="156">
        <v>2009687</v>
      </c>
      <c r="IX3" s="157"/>
      <c r="IY3" s="156">
        <v>781684</v>
      </c>
      <c r="IZ3" s="156">
        <v>-4716</v>
      </c>
      <c r="JA3" s="156">
        <v>-65816</v>
      </c>
      <c r="JB3" s="156">
        <v>2020059</v>
      </c>
      <c r="JC3" s="157"/>
      <c r="JD3" s="156">
        <f t="shared" ref="JD3:JF9" si="12">IY3-JI3</f>
        <v>397591</v>
      </c>
      <c r="JE3" s="156">
        <f t="shared" si="12"/>
        <v>24737</v>
      </c>
      <c r="JF3" s="156">
        <f t="shared" si="12"/>
        <v>-6171</v>
      </c>
      <c r="JG3" s="156">
        <f>JL3</f>
        <v>2011921</v>
      </c>
      <c r="JH3" s="157"/>
      <c r="JI3" s="156">
        <v>384093</v>
      </c>
      <c r="JJ3" s="156">
        <v>-29453</v>
      </c>
      <c r="JK3" s="156">
        <v>-59645</v>
      </c>
      <c r="JL3" s="156">
        <v>2011921</v>
      </c>
      <c r="JM3" s="157"/>
      <c r="JN3" s="156">
        <v>1311143</v>
      </c>
      <c r="JO3" s="156">
        <v>-82130</v>
      </c>
      <c r="JP3" s="156">
        <v>-205163</v>
      </c>
      <c r="JQ3" s="156">
        <v>2069263</v>
      </c>
      <c r="JR3" s="157"/>
      <c r="JS3" s="156">
        <v>423619</v>
      </c>
      <c r="JT3" s="156">
        <v>54528</v>
      </c>
      <c r="JU3" s="156">
        <v>23540</v>
      </c>
      <c r="JV3" s="156">
        <v>2069263</v>
      </c>
      <c r="JW3" s="157"/>
      <c r="JX3" s="156">
        <v>887524</v>
      </c>
      <c r="JY3" s="156">
        <v>-136658</v>
      </c>
      <c r="JZ3" s="156">
        <v>-228703</v>
      </c>
      <c r="KA3" s="156">
        <v>1949034</v>
      </c>
      <c r="KB3" s="157"/>
      <c r="KC3" s="156">
        <v>375392</v>
      </c>
      <c r="KD3" s="156">
        <v>32590</v>
      </c>
      <c r="KE3" s="156">
        <v>1833</v>
      </c>
      <c r="KF3" s="156">
        <v>1949034</v>
      </c>
      <c r="KG3" s="157"/>
      <c r="KH3" s="156">
        <v>512132</v>
      </c>
      <c r="KI3" s="156">
        <v>-169248</v>
      </c>
      <c r="KJ3" s="156">
        <v>-230536</v>
      </c>
      <c r="KK3" s="156">
        <v>1954277</v>
      </c>
      <c r="KL3" s="157"/>
      <c r="KM3" s="156">
        <v>257978</v>
      </c>
      <c r="KN3" s="156">
        <v>-104490</v>
      </c>
      <c r="KO3" s="156">
        <v>-127029</v>
      </c>
      <c r="KP3" s="156">
        <v>1954277</v>
      </c>
      <c r="KQ3" s="157"/>
      <c r="KR3" s="156">
        <v>254154</v>
      </c>
      <c r="KS3" s="156">
        <v>-64758</v>
      </c>
      <c r="KT3" s="156">
        <v>-103507</v>
      </c>
      <c r="KU3" s="156">
        <v>1952787</v>
      </c>
      <c r="KV3" s="157"/>
      <c r="KW3" s="156">
        <v>1205944</v>
      </c>
      <c r="KX3" s="156">
        <v>9137</v>
      </c>
      <c r="KY3" s="156">
        <v>-104328</v>
      </c>
      <c r="KZ3" s="156">
        <v>1657407</v>
      </c>
      <c r="LA3" s="163"/>
      <c r="LB3" s="156">
        <v>331130</v>
      </c>
      <c r="LC3" s="156">
        <v>32369</v>
      </c>
      <c r="LD3" s="156">
        <v>3251</v>
      </c>
      <c r="LE3" s="156">
        <v>1657407</v>
      </c>
      <c r="LF3" s="163"/>
      <c r="LG3" s="156">
        <v>874814</v>
      </c>
      <c r="LH3" s="156">
        <v>-23232</v>
      </c>
      <c r="LI3" s="156">
        <v>-107579</v>
      </c>
      <c r="LJ3" s="156">
        <v>1691191</v>
      </c>
      <c r="LK3" s="157"/>
      <c r="LL3" s="156">
        <v>332863</v>
      </c>
      <c r="LM3" s="156">
        <v>134670</v>
      </c>
      <c r="LN3" s="156">
        <v>106686</v>
      </c>
      <c r="LO3" s="156">
        <v>1691191</v>
      </c>
      <c r="LP3" s="157"/>
      <c r="LQ3" s="156">
        <v>541951</v>
      </c>
      <c r="LR3" s="156">
        <v>-157903</v>
      </c>
      <c r="LS3" s="156">
        <v>-214265</v>
      </c>
      <c r="LT3" s="156">
        <v>1728184</v>
      </c>
      <c r="LU3" s="157"/>
      <c r="LV3" s="156">
        <v>273192</v>
      </c>
      <c r="LW3" s="156">
        <v>-113717</v>
      </c>
      <c r="LX3" s="156">
        <v>-142220</v>
      </c>
      <c r="LY3" s="156">
        <v>1728184</v>
      </c>
      <c r="LZ3" s="157"/>
      <c r="MA3" s="156">
        <v>268759</v>
      </c>
      <c r="MB3" s="156">
        <v>-44186</v>
      </c>
      <c r="MC3" s="156">
        <v>-72045</v>
      </c>
      <c r="MD3" s="156">
        <v>1773973</v>
      </c>
      <c r="ME3" s="157"/>
      <c r="MF3" s="164" t="s">
        <v>81</v>
      </c>
      <c r="MG3" s="162">
        <v>1194024</v>
      </c>
      <c r="MH3" s="162">
        <v>98412</v>
      </c>
      <c r="MI3" s="162">
        <v>-6829</v>
      </c>
      <c r="MJ3" s="162">
        <v>1742510</v>
      </c>
      <c r="MK3" s="157"/>
      <c r="ML3" s="162">
        <v>870843</v>
      </c>
      <c r="MM3" s="162">
        <v>83480</v>
      </c>
      <c r="MN3" s="162">
        <v>5347</v>
      </c>
      <c r="MO3" s="162">
        <v>1666780</v>
      </c>
      <c r="MP3" s="157"/>
      <c r="MQ3" s="162">
        <v>529412</v>
      </c>
      <c r="MR3" s="162">
        <v>28174</v>
      </c>
      <c r="MS3" s="162">
        <v>-23785</v>
      </c>
      <c r="MT3" s="162">
        <v>1640587</v>
      </c>
      <c r="MU3" s="157"/>
      <c r="MV3" s="157"/>
      <c r="MW3" s="157"/>
      <c r="MX3" s="157"/>
      <c r="MY3" s="157"/>
      <c r="MZ3" s="157"/>
      <c r="NA3" s="157"/>
      <c r="NB3" s="157"/>
      <c r="NC3" s="157"/>
      <c r="ND3" s="157"/>
      <c r="NE3" s="157"/>
      <c r="NF3" s="157"/>
      <c r="NG3" s="157"/>
      <c r="NH3" s="157"/>
      <c r="NI3" s="157"/>
      <c r="NJ3" s="157"/>
      <c r="NK3" s="157"/>
      <c r="NL3" s="157"/>
      <c r="NM3" s="157"/>
      <c r="NN3" s="157"/>
      <c r="NO3" s="157"/>
      <c r="NP3" s="157"/>
      <c r="NQ3" s="157"/>
      <c r="NR3" s="157"/>
      <c r="NS3" s="157"/>
      <c r="NT3" s="157"/>
      <c r="NU3" s="157"/>
      <c r="NV3" s="157"/>
      <c r="NW3" s="157"/>
      <c r="NX3" s="157"/>
      <c r="NY3" s="157"/>
      <c r="NZ3" s="157"/>
      <c r="OA3" s="157"/>
      <c r="OB3" s="157"/>
      <c r="OC3" s="157"/>
      <c r="OD3" s="157"/>
      <c r="OE3" s="157"/>
      <c r="OF3" s="157"/>
      <c r="OG3" s="157"/>
      <c r="OH3" s="157"/>
      <c r="OI3" s="157"/>
      <c r="OJ3" s="157"/>
      <c r="OK3" s="157"/>
      <c r="OL3" s="157"/>
    </row>
    <row r="4" spans="1:402">
      <c r="A4" s="466" t="s">
        <v>584</v>
      </c>
      <c r="C4" s="610">
        <f>([3]segmenty!$B$9)*1000</f>
        <v>5653000</v>
      </c>
      <c r="D4" s="610">
        <f>([3]segmenty!$B$34)*1000</f>
        <v>309000</v>
      </c>
      <c r="E4" s="610">
        <f>([3]segmenty!$B$31)*1000</f>
        <v>-1374000</v>
      </c>
      <c r="F4" s="610">
        <f>([3]segmenty!$B$25)*1000</f>
        <v>4907000</v>
      </c>
      <c r="H4" s="610">
        <f>('[3]segmenty 3 m-ce'!$B$69)*1000</f>
        <v>1870000</v>
      </c>
      <c r="I4" s="610">
        <f>('[3]segmenty 3 m-ce'!$B$84)*1000</f>
        <v>153000</v>
      </c>
      <c r="J4" s="610">
        <f>('[3]segmenty 3 m-ce'!$B$81)*1000</f>
        <v>120000</v>
      </c>
      <c r="K4" s="610">
        <f t="shared" ref="K4:K9" si="13">F4</f>
        <v>4907000</v>
      </c>
      <c r="M4" s="610">
        <v>3783000</v>
      </c>
      <c r="N4" s="610">
        <v>156000</v>
      </c>
      <c r="O4" s="610">
        <v>-1494000</v>
      </c>
      <c r="P4" s="610">
        <v>5036000</v>
      </c>
      <c r="R4" s="610">
        <v>1615000</v>
      </c>
      <c r="S4" s="610">
        <v>-9000</v>
      </c>
      <c r="T4" s="610">
        <v>-1596000</v>
      </c>
      <c r="U4" s="610">
        <f t="shared" ref="U4:U9" si="14">P4</f>
        <v>5036000</v>
      </c>
      <c r="W4" s="610">
        <f>[4]segmenty!$B$9*1000</f>
        <v>2860000</v>
      </c>
      <c r="X4" s="610">
        <f>[4]segmenty!$B$34*1000</f>
        <v>292000</v>
      </c>
      <c r="Y4" s="610">
        <f>[4]segmenty!$B$31*1000</f>
        <v>197000</v>
      </c>
      <c r="Z4" s="610">
        <f>[4]segmenty!$B$25*1000</f>
        <v>9914000</v>
      </c>
      <c r="AB4" s="610">
        <f>([5]segmenty!$B$9)*1000</f>
        <v>13325000</v>
      </c>
      <c r="AC4" s="610">
        <f>([5]segmenty!$B$34)*1000</f>
        <v>1377000</v>
      </c>
      <c r="AD4" s="610">
        <f>([5]segmenty!$B$31)*1000</f>
        <v>347000</v>
      </c>
      <c r="AE4" s="610">
        <f>([5]segmenty!$B$25)*1000</f>
        <v>10023000</v>
      </c>
      <c r="AG4" s="610">
        <f t="shared" ref="AG4:AI9" si="15">AB4-AL4</f>
        <v>3811000</v>
      </c>
      <c r="AH4" s="610">
        <f t="shared" si="15"/>
        <v>292000</v>
      </c>
      <c r="AI4" s="610">
        <f t="shared" si="15"/>
        <v>-388000</v>
      </c>
      <c r="AJ4" s="610">
        <f t="shared" ref="AJ4:AJ9" si="16">AE4</f>
        <v>10023000</v>
      </c>
      <c r="AL4" s="610">
        <f>([6]segmenty!$B$9)*1000</f>
        <v>9514000</v>
      </c>
      <c r="AM4" s="610">
        <f>([6]segmenty!$B$34)*1000</f>
        <v>1085000</v>
      </c>
      <c r="AN4" s="610">
        <f>([6]segmenty!$B$31)*1000</f>
        <v>735000</v>
      </c>
      <c r="AO4" s="610">
        <f>([6]segmenty!$B$25)*1000</f>
        <v>10231000</v>
      </c>
      <c r="AQ4" s="610">
        <f>('[6]segmenty 3 m-ce PREZ'!$B$9)*1000</f>
        <v>2646000</v>
      </c>
      <c r="AR4" s="610">
        <f>('[6]segmenty 3 m-ce PREZ'!$B$16)*1000</f>
        <v>128000</v>
      </c>
      <c r="AS4" s="610">
        <f>('[6]segmenty 3 m-ce PREZ'!$B$12)*1000</f>
        <v>9000</v>
      </c>
      <c r="AT4" s="610">
        <f t="shared" ref="AT4:AT9" si="17">AO4</f>
        <v>10231000</v>
      </c>
      <c r="AV4" s="610">
        <f>[7]segmenty!$B$9*1000</f>
        <v>6868000</v>
      </c>
      <c r="AW4" s="610">
        <f>[7]segmenty!$B$34*1000</f>
        <v>957000</v>
      </c>
      <c r="AX4" s="610">
        <f>[7]segmenty!$B$31*1000</f>
        <v>726000</v>
      </c>
      <c r="AY4" s="610">
        <f>[7]segmenty!$B$25*1000</f>
        <v>10370000</v>
      </c>
      <c r="BA4" s="610">
        <f>('[7]segmenty 3 m-ce'!$B$69)*1000</f>
        <v>2838000</v>
      </c>
      <c r="BB4" s="610">
        <f>('[7]segmenty 3 m-ce'!$B$84)*1000</f>
        <v>499000</v>
      </c>
      <c r="BC4" s="610">
        <f>('[7]segmenty 3 m-ce'!$B$81)*1000</f>
        <v>380000</v>
      </c>
      <c r="BD4" s="610">
        <f t="shared" ref="BD4:BD9" si="18">AY4</f>
        <v>10370000</v>
      </c>
      <c r="BF4" s="610">
        <f>[8]segmenty!$B$9*1000</f>
        <v>4030000</v>
      </c>
      <c r="BG4" s="610">
        <f>[8]segmenty!$B$34*1000</f>
        <v>458000</v>
      </c>
      <c r="BH4" s="610">
        <f>[8]segmenty!$B$31*1000</f>
        <v>346000</v>
      </c>
      <c r="BI4" s="610">
        <f>[8]segmenty!$B$25*1000</f>
        <v>10625000</v>
      </c>
      <c r="BK4" s="610">
        <f t="shared" ref="BK4:BM9" si="19">BP4-BZ4</f>
        <v>3454000</v>
      </c>
      <c r="BL4" s="610">
        <f t="shared" si="19"/>
        <v>-111000</v>
      </c>
      <c r="BM4" s="610">
        <f t="shared" si="19"/>
        <v>-304000</v>
      </c>
      <c r="BN4" s="610">
        <f t="shared" ref="BN4:BN10" si="20">BS4</f>
        <v>10157000</v>
      </c>
      <c r="BP4" s="610">
        <v>11126000</v>
      </c>
      <c r="BQ4" s="610">
        <v>-779000</v>
      </c>
      <c r="BR4" s="610">
        <v>-1307000</v>
      </c>
      <c r="BS4" s="610">
        <v>10157000</v>
      </c>
      <c r="BU4" s="467">
        <v>2253000</v>
      </c>
      <c r="BV4" s="467">
        <v>-638000</v>
      </c>
      <c r="BW4" s="467">
        <v>-751000</v>
      </c>
      <c r="BX4" s="467">
        <f t="shared" si="0"/>
        <v>8802000</v>
      </c>
      <c r="BZ4" s="467">
        <v>7672000</v>
      </c>
      <c r="CA4" s="467">
        <v>-668000</v>
      </c>
      <c r="CB4" s="467">
        <v>-1003000</v>
      </c>
      <c r="CC4" s="467">
        <v>8802000</v>
      </c>
      <c r="CE4" s="467">
        <f t="shared" si="1"/>
        <v>2363000</v>
      </c>
      <c r="CF4" s="467">
        <f t="shared" si="1"/>
        <v>-925000</v>
      </c>
      <c r="CG4" s="467">
        <f t="shared" si="1"/>
        <v>-1038000</v>
      </c>
      <c r="CH4" s="467">
        <v>8440000</v>
      </c>
      <c r="CJ4" s="467">
        <v>5419000</v>
      </c>
      <c r="CK4" s="467">
        <v>-30000</v>
      </c>
      <c r="CL4" s="467">
        <v>-252000</v>
      </c>
      <c r="CM4" s="467">
        <v>8440000</v>
      </c>
      <c r="CO4" s="467">
        <v>3056000</v>
      </c>
      <c r="CP4" s="467">
        <v>895000</v>
      </c>
      <c r="CQ4" s="467">
        <v>786000</v>
      </c>
      <c r="CR4" s="467">
        <v>9122000</v>
      </c>
      <c r="CT4" s="467">
        <f t="shared" si="2"/>
        <v>3400888</v>
      </c>
      <c r="CU4" s="467">
        <f t="shared" si="2"/>
        <v>56825</v>
      </c>
      <c r="CV4" s="467">
        <f t="shared" si="2"/>
        <v>-70423</v>
      </c>
      <c r="CW4" s="467">
        <f t="shared" si="3"/>
        <v>8849000</v>
      </c>
      <c r="CY4" s="467">
        <v>9819000</v>
      </c>
      <c r="CZ4" s="467">
        <v>1375000</v>
      </c>
      <c r="DA4" s="467">
        <v>-25000</v>
      </c>
      <c r="DB4" s="467">
        <v>8849000</v>
      </c>
      <c r="DD4" s="467">
        <f t="shared" si="4"/>
        <v>2359143</v>
      </c>
      <c r="DE4" s="467">
        <f t="shared" si="4"/>
        <v>309951</v>
      </c>
      <c r="DF4" s="467">
        <f t="shared" si="4"/>
        <v>204422</v>
      </c>
      <c r="DG4" s="467">
        <f t="shared" si="5"/>
        <v>8743263</v>
      </c>
      <c r="DI4" s="467">
        <v>6418112</v>
      </c>
      <c r="DJ4" s="467">
        <v>1318175</v>
      </c>
      <c r="DK4" s="467">
        <v>45423</v>
      </c>
      <c r="DL4" s="467">
        <v>8743263</v>
      </c>
      <c r="DN4" s="467">
        <f t="shared" si="6"/>
        <v>1750959</v>
      </c>
      <c r="DO4" s="467">
        <f t="shared" si="6"/>
        <v>321880</v>
      </c>
      <c r="DP4" s="467">
        <f t="shared" si="6"/>
        <v>-729303</v>
      </c>
      <c r="DQ4" s="467">
        <f t="shared" si="7"/>
        <v>8695096</v>
      </c>
      <c r="DS4" s="467">
        <v>4058969</v>
      </c>
      <c r="DT4" s="467">
        <v>1008224</v>
      </c>
      <c r="DU4" s="467">
        <v>-158999</v>
      </c>
      <c r="DV4" s="467">
        <v>8695096</v>
      </c>
      <c r="DX4" s="467">
        <v>2308010</v>
      </c>
      <c r="DY4" s="467">
        <v>686344</v>
      </c>
      <c r="DZ4" s="467">
        <v>570304</v>
      </c>
      <c r="EA4" s="467">
        <v>10797611</v>
      </c>
      <c r="EC4" s="467">
        <f t="shared" si="8"/>
        <v>1154789</v>
      </c>
      <c r="ED4" s="467">
        <f t="shared" si="8"/>
        <v>124331</v>
      </c>
      <c r="EE4" s="467">
        <f t="shared" si="8"/>
        <v>-2513004</v>
      </c>
      <c r="EF4" s="467">
        <f t="shared" si="9"/>
        <v>8070552</v>
      </c>
      <c r="EH4" s="467">
        <v>3493387</v>
      </c>
      <c r="EI4" s="467">
        <v>172145</v>
      </c>
      <c r="EJ4" s="467">
        <v>-2712856</v>
      </c>
      <c r="EK4" s="467">
        <v>8070552</v>
      </c>
      <c r="EM4" s="467">
        <v>786272</v>
      </c>
      <c r="EN4" s="467">
        <v>21576</v>
      </c>
      <c r="EO4" s="467">
        <v>-44374</v>
      </c>
      <c r="EP4" s="467">
        <f t="shared" si="10"/>
        <v>10026762</v>
      </c>
      <c r="ER4" s="467">
        <v>2338598</v>
      </c>
      <c r="ES4" s="467">
        <v>47814</v>
      </c>
      <c r="ET4" s="467">
        <v>-199852</v>
      </c>
      <c r="EU4" s="467">
        <v>10026762</v>
      </c>
      <c r="EW4" s="467">
        <f t="shared" si="11"/>
        <v>744938</v>
      </c>
      <c r="EX4" s="468">
        <f t="shared" si="11"/>
        <v>28445</v>
      </c>
      <c r="EY4" s="467">
        <f t="shared" si="11"/>
        <v>-102731</v>
      </c>
      <c r="EZ4" s="467">
        <v>9827110</v>
      </c>
      <c r="FB4" s="467">
        <v>1552326</v>
      </c>
      <c r="FC4" s="468">
        <v>26238</v>
      </c>
      <c r="FD4" s="467">
        <v>-155478</v>
      </c>
      <c r="FE4" s="467">
        <v>9827110</v>
      </c>
      <c r="FG4" s="467">
        <v>807388</v>
      </c>
      <c r="FH4" s="468">
        <v>-2207</v>
      </c>
      <c r="FI4" s="467">
        <v>-52747</v>
      </c>
      <c r="FJ4" s="467">
        <v>12620365</v>
      </c>
      <c r="FK4" s="5"/>
      <c r="FL4" s="341">
        <v>4923281</v>
      </c>
      <c r="FM4" s="342">
        <v>984239</v>
      </c>
      <c r="FN4" s="341">
        <v>-129097</v>
      </c>
      <c r="FO4" s="341">
        <v>15212283</v>
      </c>
      <c r="FQ4" s="341">
        <v>1288405</v>
      </c>
      <c r="FR4" s="342">
        <v>318715</v>
      </c>
      <c r="FS4" s="341">
        <v>-468693</v>
      </c>
      <c r="FT4" s="341">
        <v>15212283</v>
      </c>
      <c r="FV4" s="341">
        <v>3634876</v>
      </c>
      <c r="FW4" s="342">
        <v>665524</v>
      </c>
      <c r="FX4" s="341">
        <v>339596</v>
      </c>
      <c r="FY4" s="341">
        <v>14413311</v>
      </c>
      <c r="GA4" s="341">
        <v>1088602</v>
      </c>
      <c r="GB4" s="342">
        <v>126492</v>
      </c>
      <c r="GC4" s="341">
        <v>14606</v>
      </c>
      <c r="GD4" s="341">
        <v>14413311</v>
      </c>
      <c r="GG4" s="341">
        <v>2546274</v>
      </c>
      <c r="GH4" s="342">
        <v>539032</v>
      </c>
      <c r="GI4" s="341">
        <v>324990</v>
      </c>
      <c r="GJ4" s="341">
        <v>13002265</v>
      </c>
      <c r="GL4" s="341">
        <v>1157326</v>
      </c>
      <c r="GM4" s="342">
        <v>152365</v>
      </c>
      <c r="GN4" s="341">
        <v>44662</v>
      </c>
      <c r="GO4" s="341">
        <v>13002265</v>
      </c>
      <c r="GQ4" s="341">
        <v>1388948</v>
      </c>
      <c r="GR4" s="342">
        <v>386667</v>
      </c>
      <c r="GS4" s="341">
        <v>280328</v>
      </c>
      <c r="GT4" s="341">
        <v>13012934</v>
      </c>
      <c r="GV4" s="341">
        <v>4638494</v>
      </c>
      <c r="GW4" s="341">
        <v>731372</v>
      </c>
      <c r="GX4" s="341">
        <v>196658</v>
      </c>
      <c r="GY4" s="341">
        <v>12712861</v>
      </c>
      <c r="HA4" s="341">
        <v>1369745</v>
      </c>
      <c r="HB4" s="342">
        <v>82432</v>
      </c>
      <c r="HC4" s="341">
        <v>-494471</v>
      </c>
      <c r="HD4" s="341">
        <v>12712861</v>
      </c>
      <c r="HF4" s="341">
        <v>3268749</v>
      </c>
      <c r="HG4" s="342">
        <v>648940</v>
      </c>
      <c r="HH4" s="341">
        <v>691129</v>
      </c>
      <c r="HI4" s="341">
        <v>12406932</v>
      </c>
      <c r="HK4" s="341">
        <v>1149397</v>
      </c>
      <c r="HL4" s="342">
        <v>57190</v>
      </c>
      <c r="HM4" s="341">
        <v>-49720</v>
      </c>
      <c r="HN4" s="341">
        <v>12406932</v>
      </c>
      <c r="HP4" s="166">
        <v>2119352</v>
      </c>
      <c r="HQ4" s="319">
        <v>591750</v>
      </c>
      <c r="HR4" s="166">
        <v>740849</v>
      </c>
      <c r="HS4" s="166">
        <v>12218655</v>
      </c>
      <c r="HU4" s="166">
        <v>947169</v>
      </c>
      <c r="HV4" s="319">
        <v>126438</v>
      </c>
      <c r="HW4" s="166">
        <v>369183</v>
      </c>
      <c r="HX4" s="166">
        <v>12218655</v>
      </c>
      <c r="HZ4" s="156">
        <v>1172183</v>
      </c>
      <c r="IA4" s="183">
        <v>465312</v>
      </c>
      <c r="IB4" s="156">
        <v>371666</v>
      </c>
      <c r="IC4" s="156">
        <v>11762964</v>
      </c>
      <c r="IE4" s="156">
        <v>4528480</v>
      </c>
      <c r="IF4" s="156">
        <v>463974</v>
      </c>
      <c r="IG4" s="156">
        <v>16595</v>
      </c>
      <c r="IH4" s="156">
        <v>11802461</v>
      </c>
      <c r="IJ4" s="156">
        <v>1203648</v>
      </c>
      <c r="IK4" s="183">
        <v>77580</v>
      </c>
      <c r="IL4" s="156">
        <v>-27589</v>
      </c>
      <c r="IM4" s="156">
        <v>11802461</v>
      </c>
      <c r="IN4" s="157"/>
      <c r="IO4" s="156">
        <v>3324832</v>
      </c>
      <c r="IP4" s="156">
        <v>386394</v>
      </c>
      <c r="IQ4" s="156">
        <v>44184</v>
      </c>
      <c r="IR4" s="156">
        <v>10725845</v>
      </c>
      <c r="IS4" s="156"/>
      <c r="IT4" s="156">
        <v>1042661</v>
      </c>
      <c r="IU4" s="156">
        <v>79923</v>
      </c>
      <c r="IV4" s="156">
        <v>-36258</v>
      </c>
      <c r="IW4" s="156">
        <v>10725845</v>
      </c>
      <c r="IX4" s="157"/>
      <c r="IY4" s="156">
        <v>2282171</v>
      </c>
      <c r="IZ4" s="156">
        <v>306471</v>
      </c>
      <c r="JA4" s="156">
        <v>80442</v>
      </c>
      <c r="JB4" s="156">
        <v>10994483</v>
      </c>
      <c r="JC4" s="157"/>
      <c r="JD4" s="156">
        <f t="shared" si="12"/>
        <v>1063014</v>
      </c>
      <c r="JE4" s="156">
        <f t="shared" si="12"/>
        <v>115805</v>
      </c>
      <c r="JF4" s="156">
        <f t="shared" si="12"/>
        <v>-11816</v>
      </c>
      <c r="JG4" s="156">
        <f>JL4</f>
        <v>10794713</v>
      </c>
      <c r="JH4" s="157"/>
      <c r="JI4" s="156">
        <v>1219157</v>
      </c>
      <c r="JJ4" s="156">
        <v>190666</v>
      </c>
      <c r="JK4" s="156">
        <v>92258</v>
      </c>
      <c r="JL4" s="156">
        <v>10794713</v>
      </c>
      <c r="JM4" s="157"/>
      <c r="JN4" s="156">
        <v>4356101</v>
      </c>
      <c r="JO4" s="156">
        <v>545311</v>
      </c>
      <c r="JP4" s="156">
        <v>-752813</v>
      </c>
      <c r="JQ4" s="156">
        <v>10874288</v>
      </c>
      <c r="JR4" s="157"/>
      <c r="JS4" s="156">
        <v>1112410</v>
      </c>
      <c r="JT4" s="156">
        <v>98202</v>
      </c>
      <c r="JU4" s="156">
        <v>-182972</v>
      </c>
      <c r="JV4" s="156">
        <v>10874288</v>
      </c>
      <c r="JW4" s="157"/>
      <c r="JX4" s="156">
        <v>3243691</v>
      </c>
      <c r="JY4" s="156">
        <v>447109</v>
      </c>
      <c r="JZ4" s="156">
        <v>-569841</v>
      </c>
      <c r="KA4" s="156">
        <v>10429522</v>
      </c>
      <c r="KB4" s="157"/>
      <c r="KC4" s="156">
        <v>901057</v>
      </c>
      <c r="KD4" s="156">
        <v>93148</v>
      </c>
      <c r="KE4" s="156">
        <v>-11530</v>
      </c>
      <c r="KF4" s="156">
        <v>10429522</v>
      </c>
      <c r="KG4" s="157"/>
      <c r="KH4" s="156">
        <v>2342634</v>
      </c>
      <c r="KI4" s="156">
        <v>353961</v>
      </c>
      <c r="KJ4" s="156">
        <v>-558311</v>
      </c>
      <c r="KK4" s="156">
        <v>10151833</v>
      </c>
      <c r="KL4" s="157"/>
      <c r="KM4" s="156">
        <v>1070810</v>
      </c>
      <c r="KN4" s="156">
        <v>162812</v>
      </c>
      <c r="KO4" s="156">
        <v>-647533</v>
      </c>
      <c r="KP4" s="156">
        <v>10151833</v>
      </c>
      <c r="KQ4" s="157"/>
      <c r="KR4" s="156">
        <v>1271824</v>
      </c>
      <c r="KS4" s="156">
        <v>191149</v>
      </c>
      <c r="KT4" s="156">
        <v>89222</v>
      </c>
      <c r="KU4" s="156">
        <v>10775702</v>
      </c>
      <c r="KV4" s="157"/>
      <c r="KW4" s="156">
        <v>5376280</v>
      </c>
      <c r="KX4" s="156">
        <v>754751</v>
      </c>
      <c r="KY4" s="156">
        <v>-3477076</v>
      </c>
      <c r="KZ4" s="156">
        <v>10788413</v>
      </c>
      <c r="LA4" s="163"/>
      <c r="LB4" s="156">
        <v>1464821</v>
      </c>
      <c r="LC4" s="156">
        <v>190712</v>
      </c>
      <c r="LD4" s="156">
        <v>-3607565</v>
      </c>
      <c r="LE4" s="156">
        <v>10788413</v>
      </c>
      <c r="LF4" s="163"/>
      <c r="LG4" s="156">
        <v>3911459</v>
      </c>
      <c r="LH4" s="156">
        <v>564039</v>
      </c>
      <c r="LI4" s="156">
        <v>130489</v>
      </c>
      <c r="LJ4" s="156">
        <v>13965188</v>
      </c>
      <c r="LK4" s="157"/>
      <c r="LL4" s="156">
        <v>1164371</v>
      </c>
      <c r="LM4" s="156">
        <v>97637</v>
      </c>
      <c r="LN4" s="156">
        <v>-51447</v>
      </c>
      <c r="LO4" s="156">
        <v>13965188</v>
      </c>
      <c r="LP4" s="157"/>
      <c r="LQ4" s="156">
        <v>2674765</v>
      </c>
      <c r="LR4" s="156">
        <v>472911</v>
      </c>
      <c r="LS4" s="156">
        <v>181936</v>
      </c>
      <c r="LT4" s="156">
        <v>13605284</v>
      </c>
      <c r="LU4" s="157"/>
      <c r="LV4" s="156">
        <v>1147664</v>
      </c>
      <c r="LW4" s="156">
        <v>188570</v>
      </c>
      <c r="LX4" s="156">
        <v>44376</v>
      </c>
      <c r="LY4" s="156">
        <v>13605284</v>
      </c>
      <c r="LZ4" s="157"/>
      <c r="MA4" s="156">
        <v>1527101</v>
      </c>
      <c r="MB4" s="156">
        <v>284341</v>
      </c>
      <c r="MC4" s="156">
        <v>137560</v>
      </c>
      <c r="MD4" s="156">
        <v>13386310</v>
      </c>
      <c r="ME4" s="157"/>
      <c r="MF4" s="163" t="s">
        <v>82</v>
      </c>
      <c r="MG4" s="156">
        <v>3218162</v>
      </c>
      <c r="MH4" s="156">
        <v>251838</v>
      </c>
      <c r="MI4" s="156">
        <v>-189247</v>
      </c>
      <c r="MJ4" s="180">
        <v>8393127</v>
      </c>
      <c r="MK4" s="157"/>
      <c r="ML4" s="156">
        <v>2304778</v>
      </c>
      <c r="MM4" s="156">
        <v>200144</v>
      </c>
      <c r="MN4" s="156">
        <v>-154254</v>
      </c>
      <c r="MO4" s="180">
        <v>7636136</v>
      </c>
      <c r="MP4" s="157"/>
      <c r="MQ4" s="156">
        <v>1472664</v>
      </c>
      <c r="MR4" s="156">
        <v>126991</v>
      </c>
      <c r="MS4" s="156">
        <v>-110708</v>
      </c>
      <c r="MT4" s="180">
        <v>7741435</v>
      </c>
      <c r="MU4" s="157"/>
      <c r="MV4" s="157"/>
      <c r="MW4" s="157"/>
      <c r="MX4" s="157"/>
      <c r="MY4" s="157"/>
      <c r="MZ4" s="157"/>
      <c r="NA4" s="157"/>
      <c r="NB4" s="157"/>
      <c r="NC4" s="157"/>
      <c r="ND4" s="157"/>
      <c r="NE4" s="157"/>
      <c r="NF4" s="157"/>
      <c r="NG4" s="157"/>
      <c r="NH4" s="157"/>
      <c r="NI4" s="157"/>
      <c r="NJ4" s="157"/>
      <c r="NK4" s="157"/>
      <c r="NL4" s="157"/>
      <c r="NM4" s="157"/>
      <c r="NN4" s="157"/>
      <c r="NO4" s="157"/>
      <c r="NP4" s="157"/>
      <c r="NQ4" s="157"/>
      <c r="NR4" s="157"/>
      <c r="NS4" s="157"/>
      <c r="NT4" s="157"/>
      <c r="NU4" s="157"/>
      <c r="NV4" s="157"/>
      <c r="NW4" s="157"/>
      <c r="NX4" s="157"/>
      <c r="NY4" s="157"/>
      <c r="NZ4" s="157"/>
      <c r="OA4" s="157"/>
      <c r="OB4" s="157"/>
      <c r="OC4" s="157"/>
      <c r="OD4" s="157"/>
      <c r="OE4" s="157"/>
      <c r="OF4" s="157"/>
      <c r="OG4" s="157"/>
      <c r="OH4" s="157"/>
      <c r="OI4" s="157"/>
      <c r="OJ4" s="157"/>
      <c r="OK4" s="157"/>
      <c r="OL4" s="157"/>
    </row>
    <row r="5" spans="1:402">
      <c r="A5" s="466" t="s">
        <v>25</v>
      </c>
      <c r="C5" s="610">
        <f>([3]segmenty!$C$9)*1000</f>
        <v>1394000</v>
      </c>
      <c r="D5" s="610">
        <f>([3]segmenty!$C$34)*1000</f>
        <v>223000</v>
      </c>
      <c r="E5" s="610">
        <f>([3]segmenty!$C$31)*1000</f>
        <v>-4000</v>
      </c>
      <c r="F5" s="610">
        <f>([3]segmenty!$C$25)*1000</f>
        <v>2586000</v>
      </c>
      <c r="H5" s="610">
        <f>('[3]segmenty 3 m-ce'!$C$69)*1000</f>
        <v>247000</v>
      </c>
      <c r="I5" s="610">
        <f>('[3]segmenty 3 m-ce'!$C$84)*1000</f>
        <v>57000</v>
      </c>
      <c r="J5" s="610">
        <f>('[3]segmenty 3 m-ce'!$C$81)*1000</f>
        <v>31000</v>
      </c>
      <c r="K5" s="610">
        <f t="shared" si="13"/>
        <v>2586000</v>
      </c>
      <c r="M5" s="610">
        <v>1147000</v>
      </c>
      <c r="N5" s="610">
        <v>166000</v>
      </c>
      <c r="O5" s="610">
        <v>-35000</v>
      </c>
      <c r="P5" s="610">
        <v>2441000</v>
      </c>
      <c r="R5" s="610">
        <v>337000</v>
      </c>
      <c r="S5" s="610">
        <v>31000</v>
      </c>
      <c r="T5" s="610">
        <v>-138000</v>
      </c>
      <c r="U5" s="610">
        <f t="shared" si="14"/>
        <v>2441000</v>
      </c>
      <c r="W5" s="610"/>
      <c r="X5" s="610"/>
      <c r="Y5" s="610"/>
      <c r="Z5" s="610"/>
      <c r="AB5" s="610"/>
      <c r="AC5" s="610"/>
      <c r="AD5" s="610"/>
      <c r="AE5" s="610"/>
      <c r="AG5" s="610"/>
      <c r="AH5" s="610"/>
      <c r="AI5" s="610"/>
      <c r="AJ5" s="610"/>
      <c r="AL5" s="610"/>
      <c r="AM5" s="610"/>
      <c r="AN5" s="610"/>
      <c r="AO5" s="610"/>
      <c r="AQ5" s="610"/>
      <c r="AR5" s="610"/>
      <c r="AS5" s="610"/>
      <c r="AT5" s="610"/>
      <c r="AV5" s="610"/>
      <c r="AW5" s="610"/>
      <c r="AX5" s="610"/>
      <c r="AY5" s="610"/>
      <c r="BA5" s="610"/>
      <c r="BB5" s="610"/>
      <c r="BC5" s="610"/>
      <c r="BD5" s="610"/>
      <c r="BF5" s="610"/>
      <c r="BG5" s="610"/>
      <c r="BH5" s="610"/>
      <c r="BI5" s="610"/>
      <c r="BK5" s="610"/>
      <c r="BL5" s="610"/>
      <c r="BM5" s="610"/>
      <c r="BN5" s="610"/>
      <c r="BP5" s="610"/>
      <c r="BQ5" s="610"/>
      <c r="BR5" s="610"/>
      <c r="BS5" s="610"/>
      <c r="BU5" s="467"/>
      <c r="BV5" s="467"/>
      <c r="BW5" s="467"/>
      <c r="BX5" s="467"/>
      <c r="BZ5" s="467"/>
      <c r="CA5" s="467"/>
      <c r="CB5" s="467"/>
      <c r="CC5" s="467"/>
      <c r="CE5" s="467"/>
      <c r="CF5" s="467"/>
      <c r="CG5" s="467"/>
      <c r="CH5" s="467"/>
      <c r="CJ5" s="467"/>
      <c r="CK5" s="467"/>
      <c r="CL5" s="467"/>
      <c r="CM5" s="467"/>
      <c r="CO5" s="467"/>
      <c r="CP5" s="467"/>
      <c r="CQ5" s="467"/>
      <c r="CR5" s="467"/>
      <c r="CT5" s="467"/>
      <c r="CU5" s="467"/>
      <c r="CV5" s="467"/>
      <c r="CW5" s="467"/>
      <c r="CY5" s="467"/>
      <c r="CZ5" s="467"/>
      <c r="DA5" s="467"/>
      <c r="DB5" s="467"/>
      <c r="DD5" s="467"/>
      <c r="DE5" s="467"/>
      <c r="DF5" s="467"/>
      <c r="DG5" s="467"/>
      <c r="DI5" s="467"/>
      <c r="DJ5" s="467"/>
      <c r="DK5" s="467"/>
      <c r="DL5" s="467"/>
      <c r="DN5" s="467"/>
      <c r="DO5" s="467"/>
      <c r="DP5" s="467"/>
      <c r="DQ5" s="467"/>
      <c r="DS5" s="467"/>
      <c r="DT5" s="467"/>
      <c r="DU5" s="467"/>
      <c r="DV5" s="467"/>
      <c r="DX5" s="467"/>
      <c r="DY5" s="467"/>
      <c r="DZ5" s="467"/>
      <c r="EA5" s="467"/>
      <c r="EC5" s="467"/>
      <c r="ED5" s="467"/>
      <c r="EE5" s="467"/>
      <c r="EF5" s="467"/>
      <c r="EH5" s="467"/>
      <c r="EI5" s="467"/>
      <c r="EJ5" s="467"/>
      <c r="EK5" s="467"/>
      <c r="EM5" s="467"/>
      <c r="EN5" s="467"/>
      <c r="EO5" s="467"/>
      <c r="EP5" s="467"/>
      <c r="ER5" s="467"/>
      <c r="ES5" s="467"/>
      <c r="ET5" s="467"/>
      <c r="EU5" s="467"/>
      <c r="EW5" s="467"/>
      <c r="EX5" s="468"/>
      <c r="EY5" s="467"/>
      <c r="EZ5" s="467"/>
      <c r="FB5" s="467"/>
      <c r="FC5" s="468"/>
      <c r="FD5" s="467"/>
      <c r="FE5" s="467"/>
      <c r="FG5" s="467"/>
      <c r="FH5" s="468"/>
      <c r="FI5" s="467"/>
      <c r="FJ5" s="467"/>
      <c r="FK5" s="5"/>
      <c r="FL5" s="341"/>
      <c r="FM5" s="342"/>
      <c r="FN5" s="341"/>
      <c r="FO5" s="341"/>
      <c r="FQ5" s="341"/>
      <c r="FR5" s="342"/>
      <c r="FS5" s="341"/>
      <c r="FT5" s="341"/>
      <c r="FV5" s="341"/>
      <c r="FW5" s="342"/>
      <c r="FX5" s="341"/>
      <c r="FY5" s="341"/>
      <c r="GA5" s="341"/>
      <c r="GB5" s="342"/>
      <c r="GC5" s="341"/>
      <c r="GD5" s="341"/>
      <c r="GG5" s="341"/>
      <c r="GH5" s="342"/>
      <c r="GI5" s="341"/>
      <c r="GJ5" s="341"/>
      <c r="GL5" s="341"/>
      <c r="GM5" s="342"/>
      <c r="GN5" s="341"/>
      <c r="GO5" s="341"/>
      <c r="GQ5" s="341"/>
      <c r="GR5" s="342"/>
      <c r="GS5" s="341"/>
      <c r="GT5" s="341"/>
      <c r="GV5" s="341"/>
      <c r="GW5" s="341"/>
      <c r="GX5" s="341"/>
      <c r="GY5" s="341"/>
      <c r="HA5" s="341"/>
      <c r="HB5" s="342"/>
      <c r="HC5" s="341"/>
      <c r="HD5" s="341"/>
      <c r="HF5" s="341"/>
      <c r="HG5" s="342"/>
      <c r="HH5" s="341"/>
      <c r="HI5" s="341"/>
      <c r="HK5" s="341"/>
      <c r="HL5" s="342"/>
      <c r="HM5" s="341"/>
      <c r="HN5" s="341"/>
      <c r="HP5" s="166"/>
      <c r="HQ5" s="319"/>
      <c r="HR5" s="166"/>
      <c r="HS5" s="166"/>
      <c r="HU5" s="166"/>
      <c r="HV5" s="319"/>
      <c r="HW5" s="166"/>
      <c r="HX5" s="166"/>
      <c r="HZ5" s="156"/>
      <c r="IA5" s="183"/>
      <c r="IB5" s="156"/>
      <c r="IC5" s="156"/>
      <c r="IE5" s="156"/>
      <c r="IF5" s="156"/>
      <c r="IG5" s="156"/>
      <c r="IH5" s="156"/>
      <c r="IJ5" s="156"/>
      <c r="IK5" s="183"/>
      <c r="IL5" s="156"/>
      <c r="IM5" s="156"/>
      <c r="IN5" s="157"/>
      <c r="IO5" s="156"/>
      <c r="IP5" s="156"/>
      <c r="IQ5" s="156"/>
      <c r="IR5" s="156"/>
      <c r="IS5" s="156"/>
      <c r="IT5" s="156"/>
      <c r="IU5" s="156"/>
      <c r="IV5" s="156"/>
      <c r="IW5" s="156"/>
      <c r="IX5" s="157"/>
      <c r="IY5" s="156"/>
      <c r="IZ5" s="156"/>
      <c r="JA5" s="156"/>
      <c r="JB5" s="156"/>
      <c r="JC5" s="157"/>
      <c r="JD5" s="156"/>
      <c r="JE5" s="156"/>
      <c r="JF5" s="156"/>
      <c r="JG5" s="156"/>
      <c r="JH5" s="157"/>
      <c r="JI5" s="156"/>
      <c r="JJ5" s="156"/>
      <c r="JK5" s="156"/>
      <c r="JL5" s="156"/>
      <c r="JM5" s="157"/>
      <c r="JN5" s="156"/>
      <c r="JO5" s="156"/>
      <c r="JP5" s="156"/>
      <c r="JQ5" s="156"/>
      <c r="JR5" s="157"/>
      <c r="JS5" s="156"/>
      <c r="JT5" s="156"/>
      <c r="JU5" s="156"/>
      <c r="JV5" s="156"/>
      <c r="JW5" s="157"/>
      <c r="JX5" s="156"/>
      <c r="JY5" s="156"/>
      <c r="JZ5" s="156"/>
      <c r="KA5" s="156"/>
      <c r="KB5" s="157"/>
      <c r="KC5" s="156"/>
      <c r="KD5" s="156"/>
      <c r="KE5" s="156"/>
      <c r="KF5" s="156"/>
      <c r="KG5" s="157"/>
      <c r="KH5" s="156"/>
      <c r="KI5" s="156"/>
      <c r="KJ5" s="156"/>
      <c r="KK5" s="156"/>
      <c r="KL5" s="157"/>
      <c r="KM5" s="156"/>
      <c r="KN5" s="156"/>
      <c r="KO5" s="156"/>
      <c r="KP5" s="156"/>
      <c r="KQ5" s="157"/>
      <c r="KR5" s="156"/>
      <c r="KS5" s="156"/>
      <c r="KT5" s="156"/>
      <c r="KU5" s="156"/>
      <c r="KV5" s="157"/>
      <c r="KW5" s="156"/>
      <c r="KX5" s="156"/>
      <c r="KY5" s="156"/>
      <c r="KZ5" s="156"/>
      <c r="LA5" s="163"/>
      <c r="LB5" s="156"/>
      <c r="LC5" s="156"/>
      <c r="LD5" s="156"/>
      <c r="LE5" s="156"/>
      <c r="LF5" s="163"/>
      <c r="LG5" s="156"/>
      <c r="LH5" s="156"/>
      <c r="LI5" s="156"/>
      <c r="LJ5" s="156"/>
      <c r="LK5" s="157"/>
      <c r="LL5" s="156"/>
      <c r="LM5" s="156"/>
      <c r="LN5" s="156"/>
      <c r="LO5" s="156"/>
      <c r="LP5" s="157"/>
      <c r="LQ5" s="156"/>
      <c r="LR5" s="156"/>
      <c r="LS5" s="156"/>
      <c r="LT5" s="156"/>
      <c r="LU5" s="157"/>
      <c r="LV5" s="156"/>
      <c r="LW5" s="156"/>
      <c r="LX5" s="156"/>
      <c r="LY5" s="156"/>
      <c r="LZ5" s="157"/>
      <c r="MA5" s="156"/>
      <c r="MB5" s="156"/>
      <c r="MC5" s="156"/>
      <c r="MD5" s="156"/>
      <c r="ME5" s="157"/>
      <c r="MF5" s="163"/>
      <c r="MG5" s="156"/>
      <c r="MH5" s="156"/>
      <c r="MI5" s="156"/>
      <c r="MJ5" s="180"/>
      <c r="MK5" s="157"/>
      <c r="ML5" s="156"/>
      <c r="MM5" s="156"/>
      <c r="MN5" s="156"/>
      <c r="MO5" s="180"/>
      <c r="MP5" s="157"/>
      <c r="MQ5" s="156"/>
      <c r="MR5" s="156"/>
      <c r="MS5" s="156"/>
      <c r="MT5" s="180"/>
      <c r="MU5" s="157"/>
      <c r="MV5" s="157"/>
      <c r="MW5" s="157"/>
      <c r="MX5" s="157"/>
      <c r="MY5" s="157"/>
      <c r="MZ5" s="157"/>
      <c r="NA5" s="157"/>
      <c r="NB5" s="157"/>
      <c r="NC5" s="157"/>
      <c r="ND5" s="157"/>
      <c r="NE5" s="157"/>
      <c r="NF5" s="157"/>
      <c r="NG5" s="157"/>
      <c r="NH5" s="157"/>
      <c r="NI5" s="157"/>
      <c r="NJ5" s="157"/>
      <c r="NK5" s="157"/>
      <c r="NL5" s="157"/>
      <c r="NM5" s="157"/>
      <c r="NN5" s="157"/>
      <c r="NO5" s="157"/>
      <c r="NP5" s="157"/>
      <c r="NQ5" s="157"/>
      <c r="NR5" s="157"/>
      <c r="NS5" s="157"/>
      <c r="NT5" s="157"/>
      <c r="NU5" s="157"/>
      <c r="NV5" s="157"/>
      <c r="NW5" s="157"/>
      <c r="NX5" s="157"/>
      <c r="NY5" s="157"/>
      <c r="NZ5" s="157"/>
      <c r="OA5" s="157"/>
      <c r="OB5" s="157"/>
      <c r="OC5" s="157"/>
      <c r="OD5" s="157"/>
      <c r="OE5" s="157"/>
      <c r="OF5" s="157"/>
      <c r="OG5" s="157"/>
      <c r="OH5" s="157"/>
      <c r="OI5" s="157"/>
      <c r="OJ5" s="157"/>
      <c r="OK5" s="157"/>
      <c r="OL5" s="157"/>
    </row>
    <row r="6" spans="1:402">
      <c r="A6" s="59" t="s">
        <v>583</v>
      </c>
      <c r="C6" s="610">
        <f>([3]segmenty!$D$9)*1000</f>
        <v>688000</v>
      </c>
      <c r="D6" s="610">
        <f>([3]segmenty!$D$34)*1000</f>
        <v>494000</v>
      </c>
      <c r="E6" s="610">
        <f>([3]segmenty!$D$31)*1000</f>
        <v>351000</v>
      </c>
      <c r="F6" s="610">
        <f>([3]segmenty!$D$25)*1000</f>
        <v>5079000</v>
      </c>
      <c r="H6" s="610">
        <f>('[3]segmenty 3 m-ce'!$D$69)*1000</f>
        <v>176000</v>
      </c>
      <c r="I6" s="610">
        <f>('[3]segmenty 3 m-ce'!$D$84)*1000</f>
        <v>125000</v>
      </c>
      <c r="J6" s="610">
        <f>('[3]segmenty 3 m-ce'!$D$81)*1000</f>
        <v>77000</v>
      </c>
      <c r="K6" s="610">
        <f t="shared" si="13"/>
        <v>5079000</v>
      </c>
      <c r="M6" s="610">
        <v>512000</v>
      </c>
      <c r="N6" s="610">
        <v>369000</v>
      </c>
      <c r="O6" s="610">
        <v>274000</v>
      </c>
      <c r="P6" s="610">
        <v>4545000</v>
      </c>
      <c r="R6" s="610">
        <v>220000</v>
      </c>
      <c r="S6" s="610">
        <v>140000</v>
      </c>
      <c r="T6" s="610">
        <v>92000</v>
      </c>
      <c r="U6" s="610">
        <f t="shared" si="14"/>
        <v>4545000</v>
      </c>
      <c r="W6" s="610">
        <f>[4]segmenty!$C$9*1000</f>
        <v>292000</v>
      </c>
      <c r="X6" s="610">
        <f>[4]segmenty!$C$34*1000</f>
        <v>229000</v>
      </c>
      <c r="Y6" s="610">
        <f>[4]segmenty!$C$31*1000</f>
        <v>182000</v>
      </c>
      <c r="Z6" s="610">
        <f>[4]segmenty!$C$25*1000</f>
        <v>4288000</v>
      </c>
      <c r="AB6" s="610">
        <f>([5]segmenty!$C$9)*1000</f>
        <v>750000</v>
      </c>
      <c r="AC6" s="610">
        <f>([5]segmenty!$C$34)*1000</f>
        <v>431000</v>
      </c>
      <c r="AD6" s="610">
        <f>([5]segmenty!$C$31)*1000</f>
        <v>261000</v>
      </c>
      <c r="AE6" s="610">
        <f>([5]segmenty!$C$25)*1000</f>
        <v>3971000</v>
      </c>
      <c r="AG6" s="610">
        <f t="shared" si="15"/>
        <v>189000</v>
      </c>
      <c r="AH6" s="610">
        <f t="shared" si="15"/>
        <v>110000</v>
      </c>
      <c r="AI6" s="610">
        <f t="shared" si="15"/>
        <v>82000</v>
      </c>
      <c r="AJ6" s="610">
        <f t="shared" si="16"/>
        <v>3971000</v>
      </c>
      <c r="AL6" s="610">
        <f>([6]segmenty!$C$9)*1000</f>
        <v>561000</v>
      </c>
      <c r="AM6" s="610">
        <f>([6]segmenty!$C$34)*1000</f>
        <v>321000</v>
      </c>
      <c r="AN6" s="610">
        <f>([6]segmenty!$C$31)*1000</f>
        <v>179000</v>
      </c>
      <c r="AO6" s="610">
        <f>([6]segmenty!$C$25)*1000</f>
        <v>3527000</v>
      </c>
      <c r="AQ6" s="610">
        <f>('[6]segmenty 3 m-ce PREZ'!$C$9)*1000</f>
        <v>121000</v>
      </c>
      <c r="AR6" s="610">
        <f>('[6]segmenty 3 m-ce PREZ'!$C$16)*1000</f>
        <v>45000</v>
      </c>
      <c r="AS6" s="610">
        <f>('[6]segmenty 3 m-ce PREZ'!$C$12)*1000</f>
        <v>-1000</v>
      </c>
      <c r="AT6" s="610">
        <f t="shared" si="17"/>
        <v>3527000</v>
      </c>
      <c r="AV6" s="610">
        <f>[7]segmenty!$C$9*1000</f>
        <v>440000</v>
      </c>
      <c r="AW6" s="610">
        <f>[7]segmenty!$C$34*1000</f>
        <v>276000</v>
      </c>
      <c r="AX6" s="610">
        <f>[7]segmenty!$C$31*1000</f>
        <v>180000</v>
      </c>
      <c r="AY6" s="610">
        <f>[7]segmenty!$C$25*1000</f>
        <v>3271000</v>
      </c>
      <c r="BA6" s="610">
        <f>('[7]segmenty 3 m-ce'!$C$69)*1000</f>
        <v>171000</v>
      </c>
      <c r="BB6" s="610">
        <f>('[7]segmenty 3 m-ce'!$C$84)*1000</f>
        <v>90000</v>
      </c>
      <c r="BC6" s="610">
        <f>('[7]segmenty 3 m-ce'!$C$81)*1000</f>
        <v>42000</v>
      </c>
      <c r="BD6" s="610">
        <f t="shared" si="18"/>
        <v>3271000</v>
      </c>
      <c r="BF6" s="610">
        <f>[8]segmenty!$C$9*1000</f>
        <v>269000</v>
      </c>
      <c r="BG6" s="610">
        <f>[8]segmenty!$C$34*1000</f>
        <v>186000</v>
      </c>
      <c r="BH6" s="610">
        <f>[8]segmenty!$C$31*1000</f>
        <v>138000</v>
      </c>
      <c r="BI6" s="610">
        <f>[8]segmenty!$C$25*1000</f>
        <v>2960000</v>
      </c>
      <c r="BK6" s="610">
        <f t="shared" si="19"/>
        <v>163000</v>
      </c>
      <c r="BL6" s="610">
        <f t="shared" si="19"/>
        <v>94000</v>
      </c>
      <c r="BM6" s="610">
        <f t="shared" si="19"/>
        <v>20000</v>
      </c>
      <c r="BN6" s="610">
        <f t="shared" si="20"/>
        <v>2910000</v>
      </c>
      <c r="BP6" s="610">
        <v>909000</v>
      </c>
      <c r="BQ6" s="610">
        <v>476000</v>
      </c>
      <c r="BR6" s="610">
        <v>292000</v>
      </c>
      <c r="BS6" s="610">
        <v>2910000</v>
      </c>
      <c r="BU6" s="467">
        <v>178000</v>
      </c>
      <c r="BV6" s="467">
        <v>86000</v>
      </c>
      <c r="BW6" s="467">
        <v>50000</v>
      </c>
      <c r="BX6" s="467">
        <f t="shared" si="0"/>
        <v>2585000</v>
      </c>
      <c r="BZ6" s="467">
        <v>746000</v>
      </c>
      <c r="CA6" s="467">
        <v>382000</v>
      </c>
      <c r="CB6" s="467">
        <v>272000</v>
      </c>
      <c r="CC6" s="467">
        <v>2585000</v>
      </c>
      <c r="CE6" s="467">
        <f t="shared" si="1"/>
        <v>254000</v>
      </c>
      <c r="CF6" s="467">
        <f t="shared" si="1"/>
        <v>110000</v>
      </c>
      <c r="CG6" s="467">
        <f t="shared" si="1"/>
        <v>68000</v>
      </c>
      <c r="CH6" s="467">
        <v>2590000</v>
      </c>
      <c r="CJ6" s="467">
        <v>568000</v>
      </c>
      <c r="CK6" s="467">
        <v>296000</v>
      </c>
      <c r="CL6" s="467">
        <v>222000</v>
      </c>
      <c r="CM6" s="467">
        <v>2590000</v>
      </c>
      <c r="CO6" s="467">
        <v>314000</v>
      </c>
      <c r="CP6" s="467">
        <v>186000</v>
      </c>
      <c r="CQ6" s="467">
        <v>154000</v>
      </c>
      <c r="CR6" s="467">
        <v>2476000</v>
      </c>
      <c r="CT6" s="467">
        <f t="shared" si="2"/>
        <v>216892</v>
      </c>
      <c r="CU6" s="467">
        <f t="shared" si="2"/>
        <v>125893</v>
      </c>
      <c r="CV6" s="467">
        <f t="shared" si="2"/>
        <v>90451</v>
      </c>
      <c r="CW6" s="467">
        <f t="shared" si="3"/>
        <v>2470000</v>
      </c>
      <c r="CY6" s="467">
        <v>661000</v>
      </c>
      <c r="CZ6" s="467">
        <v>376000</v>
      </c>
      <c r="DA6" s="467">
        <v>224000</v>
      </c>
      <c r="DB6" s="467">
        <v>2470000</v>
      </c>
      <c r="DD6" s="467">
        <f t="shared" si="4"/>
        <v>135733</v>
      </c>
      <c r="DE6" s="467">
        <f t="shared" si="4"/>
        <v>83090</v>
      </c>
      <c r="DF6" s="467">
        <f t="shared" si="4"/>
        <v>44592</v>
      </c>
      <c r="DG6" s="467">
        <f t="shared" si="5"/>
        <v>2397206</v>
      </c>
      <c r="DI6" s="467">
        <v>444108</v>
      </c>
      <c r="DJ6" s="467">
        <v>250107</v>
      </c>
      <c r="DK6" s="467">
        <v>133549</v>
      </c>
      <c r="DL6" s="467">
        <v>2397206</v>
      </c>
      <c r="DN6" s="467">
        <f t="shared" si="6"/>
        <v>152247</v>
      </c>
      <c r="DO6" s="467">
        <f t="shared" si="6"/>
        <v>83297</v>
      </c>
      <c r="DP6" s="467">
        <f t="shared" si="6"/>
        <v>44444</v>
      </c>
      <c r="DQ6" s="467">
        <f t="shared" si="7"/>
        <v>2380016</v>
      </c>
      <c r="DS6" s="467">
        <v>308375</v>
      </c>
      <c r="DT6" s="467">
        <v>167017</v>
      </c>
      <c r="DU6" s="467">
        <v>88957</v>
      </c>
      <c r="DV6" s="467">
        <v>2380016</v>
      </c>
      <c r="DX6" s="467">
        <v>156128</v>
      </c>
      <c r="DY6" s="467">
        <v>83720</v>
      </c>
      <c r="DZ6" s="467">
        <v>44513</v>
      </c>
      <c r="EA6" s="467">
        <v>2404403</v>
      </c>
      <c r="EC6" s="467">
        <f>EH6-ER6</f>
        <v>157558</v>
      </c>
      <c r="ED6" s="467">
        <f>EI6-ES6</f>
        <v>79490</v>
      </c>
      <c r="EE6" s="467">
        <f>EJ6-ET6</f>
        <v>41326</v>
      </c>
      <c r="EF6" s="467">
        <f t="shared" si="9"/>
        <v>2438924</v>
      </c>
      <c r="EH6" s="467">
        <v>615558</v>
      </c>
      <c r="EI6" s="467">
        <v>296852</v>
      </c>
      <c r="EJ6" s="467">
        <v>145801</v>
      </c>
      <c r="EK6" s="467">
        <v>2438924</v>
      </c>
      <c r="EM6" s="467">
        <v>108978</v>
      </c>
      <c r="EN6" s="467">
        <v>53797</v>
      </c>
      <c r="EO6" s="467">
        <v>16392</v>
      </c>
      <c r="EP6" s="467">
        <f t="shared" si="10"/>
        <v>2359573</v>
      </c>
      <c r="ER6" s="467">
        <v>458000</v>
      </c>
      <c r="ES6" s="467">
        <v>217362</v>
      </c>
      <c r="ET6" s="467">
        <v>104475</v>
      </c>
      <c r="EU6" s="467">
        <v>2359573</v>
      </c>
      <c r="EW6" s="467">
        <f t="shared" si="11"/>
        <v>149855</v>
      </c>
      <c r="EX6" s="468">
        <f t="shared" si="11"/>
        <v>42495</v>
      </c>
      <c r="EY6" s="467">
        <f t="shared" si="11"/>
        <v>4801</v>
      </c>
      <c r="EZ6" s="467">
        <v>2403664</v>
      </c>
      <c r="FB6" s="467">
        <v>349022</v>
      </c>
      <c r="FC6" s="468">
        <v>163565</v>
      </c>
      <c r="FD6" s="467">
        <v>88083</v>
      </c>
      <c r="FE6" s="467">
        <v>2403664</v>
      </c>
      <c r="FG6" s="467">
        <v>199167</v>
      </c>
      <c r="FH6" s="468">
        <v>121070</v>
      </c>
      <c r="FI6" s="467">
        <v>83282</v>
      </c>
      <c r="FJ6" s="467">
        <v>2460727</v>
      </c>
      <c r="FK6" s="5"/>
      <c r="FL6" s="341"/>
      <c r="FM6" s="342"/>
      <c r="FN6" s="341"/>
      <c r="FO6" s="341"/>
      <c r="FQ6" s="341"/>
      <c r="FR6" s="342"/>
      <c r="FS6" s="341"/>
      <c r="FT6" s="341"/>
      <c r="FV6" s="341"/>
      <c r="FW6" s="342"/>
      <c r="FX6" s="341"/>
      <c r="FY6" s="341"/>
      <c r="GA6" s="341"/>
      <c r="GB6" s="342"/>
      <c r="GC6" s="341"/>
      <c r="GD6" s="341"/>
      <c r="GG6" s="341"/>
      <c r="GH6" s="342"/>
      <c r="GI6" s="341"/>
      <c r="GJ6" s="341"/>
      <c r="GL6" s="341"/>
      <c r="GM6" s="342"/>
      <c r="GN6" s="341"/>
      <c r="GO6" s="341"/>
      <c r="GQ6" s="341"/>
      <c r="GR6" s="342"/>
      <c r="GS6" s="341"/>
      <c r="GT6" s="341"/>
      <c r="GV6" s="341"/>
      <c r="GW6" s="341"/>
      <c r="GX6" s="341"/>
      <c r="GY6" s="341"/>
      <c r="HA6" s="341"/>
      <c r="HB6" s="342"/>
      <c r="HC6" s="341"/>
      <c r="HD6" s="341"/>
      <c r="HF6" s="341"/>
      <c r="HG6" s="342"/>
      <c r="HH6" s="341"/>
      <c r="HI6" s="341"/>
      <c r="HK6" s="341"/>
      <c r="HL6" s="342"/>
      <c r="HM6" s="341"/>
      <c r="HN6" s="341"/>
      <c r="HP6" s="166"/>
      <c r="HQ6" s="319"/>
      <c r="HR6" s="166"/>
      <c r="HS6" s="166"/>
      <c r="HU6" s="166"/>
      <c r="HV6" s="319"/>
      <c r="HW6" s="166"/>
      <c r="HX6" s="166"/>
      <c r="HZ6" s="156"/>
      <c r="IA6" s="183"/>
      <c r="IB6" s="156"/>
      <c r="IC6" s="156"/>
      <c r="IE6" s="156"/>
      <c r="IF6" s="156"/>
      <c r="IG6" s="156"/>
      <c r="IH6" s="156"/>
      <c r="IJ6" s="156"/>
      <c r="IK6" s="183"/>
      <c r="IL6" s="156"/>
      <c r="IM6" s="156"/>
      <c r="IN6" s="157"/>
      <c r="IO6" s="156"/>
      <c r="IP6" s="156"/>
      <c r="IQ6" s="156"/>
      <c r="IR6" s="156"/>
      <c r="IS6" s="156"/>
      <c r="IT6" s="156"/>
      <c r="IU6" s="156"/>
      <c r="IV6" s="156"/>
      <c r="IW6" s="156"/>
      <c r="IX6" s="157"/>
      <c r="IY6" s="156"/>
      <c r="IZ6" s="156"/>
      <c r="JA6" s="156"/>
      <c r="JB6" s="156"/>
      <c r="JC6" s="157"/>
      <c r="JD6" s="156"/>
      <c r="JE6" s="156"/>
      <c r="JF6" s="156"/>
      <c r="JG6" s="156"/>
      <c r="JH6" s="157"/>
      <c r="JI6" s="156"/>
      <c r="JJ6" s="156"/>
      <c r="JK6" s="156"/>
      <c r="JL6" s="156"/>
      <c r="JM6" s="157"/>
      <c r="JN6" s="156"/>
      <c r="JO6" s="156"/>
      <c r="JP6" s="156"/>
      <c r="JQ6" s="156"/>
      <c r="JR6" s="157"/>
      <c r="JS6" s="156"/>
      <c r="JT6" s="156"/>
      <c r="JU6" s="156"/>
      <c r="JV6" s="156"/>
      <c r="JW6" s="157"/>
      <c r="JX6" s="156"/>
      <c r="JY6" s="156"/>
      <c r="JZ6" s="156"/>
      <c r="KA6" s="156"/>
      <c r="KB6" s="157"/>
      <c r="KC6" s="156"/>
      <c r="KD6" s="156"/>
      <c r="KE6" s="156"/>
      <c r="KF6" s="156"/>
      <c r="KG6" s="157"/>
      <c r="KH6" s="156"/>
      <c r="KI6" s="156"/>
      <c r="KJ6" s="156"/>
      <c r="KK6" s="156"/>
      <c r="KL6" s="157"/>
      <c r="KM6" s="156"/>
      <c r="KN6" s="156"/>
      <c r="KO6" s="156"/>
      <c r="KP6" s="156"/>
      <c r="KQ6" s="157"/>
      <c r="KR6" s="156"/>
      <c r="KS6" s="156"/>
      <c r="KT6" s="156"/>
      <c r="KU6" s="156"/>
      <c r="KV6" s="157"/>
      <c r="KW6" s="156"/>
      <c r="KX6" s="156"/>
      <c r="KY6" s="156"/>
      <c r="KZ6" s="156"/>
      <c r="LA6" s="163"/>
      <c r="LB6" s="156"/>
      <c r="LC6" s="156"/>
      <c r="LD6" s="156"/>
      <c r="LE6" s="156"/>
      <c r="LF6" s="163"/>
      <c r="LG6" s="156"/>
      <c r="LH6" s="156"/>
      <c r="LI6" s="156"/>
      <c r="LJ6" s="156"/>
      <c r="LK6" s="157"/>
      <c r="LL6" s="156"/>
      <c r="LM6" s="156"/>
      <c r="LN6" s="156"/>
      <c r="LO6" s="156"/>
      <c r="LP6" s="157"/>
      <c r="LQ6" s="156"/>
      <c r="LR6" s="156"/>
      <c r="LS6" s="156"/>
      <c r="LT6" s="156"/>
      <c r="LU6" s="157"/>
      <c r="LV6" s="156"/>
      <c r="LW6" s="156"/>
      <c r="LX6" s="156"/>
      <c r="LY6" s="156"/>
      <c r="LZ6" s="157"/>
      <c r="MA6" s="156"/>
      <c r="MB6" s="156"/>
      <c r="MC6" s="156"/>
      <c r="MD6" s="156"/>
      <c r="ME6" s="157"/>
      <c r="MF6" s="163"/>
      <c r="MG6" s="156"/>
      <c r="MH6" s="156"/>
      <c r="MI6" s="156"/>
      <c r="MJ6" s="180"/>
      <c r="MK6" s="157"/>
      <c r="ML6" s="156"/>
      <c r="MM6" s="156"/>
      <c r="MN6" s="156"/>
      <c r="MO6" s="180"/>
      <c r="MP6" s="157"/>
      <c r="MQ6" s="156"/>
      <c r="MR6" s="156"/>
      <c r="MS6" s="156"/>
      <c r="MT6" s="180"/>
      <c r="MU6" s="157"/>
      <c r="MV6" s="157"/>
      <c r="MW6" s="157"/>
      <c r="MX6" s="157"/>
      <c r="MY6" s="157"/>
      <c r="MZ6" s="157"/>
      <c r="NA6" s="157"/>
      <c r="NB6" s="157"/>
      <c r="NC6" s="157"/>
      <c r="ND6" s="157"/>
      <c r="NE6" s="157"/>
      <c r="NF6" s="157"/>
      <c r="NG6" s="157"/>
      <c r="NH6" s="157"/>
      <c r="NI6" s="157"/>
      <c r="NJ6" s="157"/>
      <c r="NK6" s="157"/>
      <c r="NL6" s="157"/>
      <c r="NM6" s="157"/>
      <c r="NN6" s="157"/>
      <c r="NO6" s="157"/>
      <c r="NP6" s="157"/>
      <c r="NQ6" s="157"/>
      <c r="NR6" s="157"/>
      <c r="NS6" s="157"/>
      <c r="NT6" s="157"/>
      <c r="NU6" s="157"/>
      <c r="NV6" s="157"/>
      <c r="NW6" s="157"/>
      <c r="NX6" s="157"/>
      <c r="NY6" s="157"/>
      <c r="NZ6" s="157"/>
      <c r="OA6" s="157"/>
      <c r="OB6" s="157"/>
      <c r="OC6" s="157"/>
      <c r="OD6" s="157"/>
      <c r="OE6" s="157"/>
      <c r="OF6" s="157"/>
      <c r="OG6" s="157"/>
      <c r="OH6" s="157"/>
      <c r="OI6" s="157"/>
      <c r="OJ6" s="157"/>
      <c r="OK6" s="157"/>
      <c r="OL6" s="157"/>
    </row>
    <row r="7" spans="1:402">
      <c r="A7" s="59" t="s">
        <v>78</v>
      </c>
      <c r="C7" s="610">
        <f>([3]segmenty!$E$9)*1000</f>
        <v>8127000</v>
      </c>
      <c r="D7" s="610">
        <f>([3]segmenty!$E$34)*1000</f>
        <v>2638000</v>
      </c>
      <c r="E7" s="610">
        <f>([3]segmenty!$E$31)*1000</f>
        <v>1591000</v>
      </c>
      <c r="F7" s="610">
        <f>([3]segmenty!$E$25)*1000</f>
        <v>25309000</v>
      </c>
      <c r="H7" s="610">
        <f>('[3]segmenty 3 m-ce'!$E$69)*1000</f>
        <v>2876000</v>
      </c>
      <c r="I7" s="610">
        <f>('[3]segmenty 3 m-ce'!$E$84)*1000</f>
        <v>1022000</v>
      </c>
      <c r="J7" s="610">
        <f>('[3]segmenty 3 m-ce'!$E$81)*1000</f>
        <v>665000</v>
      </c>
      <c r="K7" s="610">
        <f t="shared" si="13"/>
        <v>25309000</v>
      </c>
      <c r="M7" s="610">
        <v>5251000</v>
      </c>
      <c r="N7" s="610">
        <v>1616000</v>
      </c>
      <c r="O7" s="610">
        <v>926000</v>
      </c>
      <c r="P7" s="610">
        <v>25011000</v>
      </c>
      <c r="R7" s="610">
        <v>2806000</v>
      </c>
      <c r="S7" s="610">
        <v>994000</v>
      </c>
      <c r="T7" s="610">
        <v>645000</v>
      </c>
      <c r="U7" s="610">
        <f t="shared" si="14"/>
        <v>25011000</v>
      </c>
      <c r="W7" s="610">
        <f>[4]segmenty!$D$9*1000</f>
        <v>2446000</v>
      </c>
      <c r="X7" s="610">
        <f>[4]segmenty!$D$34*1000</f>
        <v>622000</v>
      </c>
      <c r="Y7" s="610">
        <f>[4]segmenty!$D$31*1000</f>
        <v>280000</v>
      </c>
      <c r="Z7" s="610">
        <f>[4]segmenty!$D$25*1000</f>
        <v>24794000</v>
      </c>
      <c r="AB7" s="610">
        <f>([5]segmenty!$D$9)*1000</f>
        <v>11734000</v>
      </c>
      <c r="AC7" s="610">
        <f>([5]segmenty!$D$34)*1000</f>
        <v>3528000</v>
      </c>
      <c r="AD7" s="610">
        <f>([5]segmenty!$D$31)*1000</f>
        <v>2197000</v>
      </c>
      <c r="AE7" s="610">
        <f>([5]segmenty!$D$25)*1000</f>
        <v>24189000</v>
      </c>
      <c r="AG7" s="610">
        <f t="shared" si="15"/>
        <v>2770000</v>
      </c>
      <c r="AH7" s="610">
        <f t="shared" si="15"/>
        <v>102000</v>
      </c>
      <c r="AI7" s="610">
        <f t="shared" si="15"/>
        <v>-246000</v>
      </c>
      <c r="AJ7" s="610">
        <f t="shared" si="16"/>
        <v>24189000</v>
      </c>
      <c r="AL7" s="610">
        <f>([6]segmenty!$D$9)*1000</f>
        <v>8964000</v>
      </c>
      <c r="AM7" s="610">
        <f>([6]segmenty!$D$34)*1000</f>
        <v>3426000</v>
      </c>
      <c r="AN7" s="610">
        <f>([6]segmenty!$D$31)*1000</f>
        <v>2443000</v>
      </c>
      <c r="AO7" s="610">
        <f>([6]segmenty!$D$25)*1000</f>
        <v>23631000</v>
      </c>
      <c r="AQ7" s="610">
        <f>('[6]segmenty 3 m-ce PREZ'!$D$9)*1000</f>
        <v>2846000</v>
      </c>
      <c r="AR7" s="610">
        <f>('[6]segmenty 3 m-ce PREZ'!$D$16)*1000</f>
        <v>1096000</v>
      </c>
      <c r="AS7" s="610">
        <f>('[6]segmenty 3 m-ce PREZ'!$D$12)*1000</f>
        <v>761000</v>
      </c>
      <c r="AT7" s="610">
        <f t="shared" si="17"/>
        <v>23631000</v>
      </c>
      <c r="AV7" s="610">
        <f>[7]segmenty!$D$9*1000</f>
        <v>6118000</v>
      </c>
      <c r="AW7" s="610">
        <f>[7]segmenty!$D$34*1000</f>
        <v>2330000</v>
      </c>
      <c r="AX7" s="610">
        <f>[7]segmenty!$D$31*1000</f>
        <v>1682000</v>
      </c>
      <c r="AY7" s="610">
        <f>[7]segmenty!$D$25*1000</f>
        <v>23243000</v>
      </c>
      <c r="BA7" s="610">
        <f>('[7]segmenty 3 m-ce'!$D$69)*1000</f>
        <v>2791000</v>
      </c>
      <c r="BB7" s="610">
        <f>('[7]segmenty 3 m-ce'!$D$84)*1000</f>
        <v>1044000</v>
      </c>
      <c r="BC7" s="610">
        <f>('[7]segmenty 3 m-ce'!$D$81)*1000</f>
        <v>714000</v>
      </c>
      <c r="BD7" s="610">
        <f t="shared" si="18"/>
        <v>23243000</v>
      </c>
      <c r="BF7" s="610">
        <f>[8]segmenty!$D$9*1000</f>
        <v>3327000</v>
      </c>
      <c r="BG7" s="610">
        <f>[8]segmenty!$D$34*1000</f>
        <v>1286000</v>
      </c>
      <c r="BH7" s="610">
        <f>[8]segmenty!$D$31*1000</f>
        <v>968000</v>
      </c>
      <c r="BI7" s="610">
        <f>[8]segmenty!$D$25*1000</f>
        <v>23123000</v>
      </c>
      <c r="BK7" s="610">
        <f t="shared" si="19"/>
        <v>1880000</v>
      </c>
      <c r="BL7" s="610">
        <f t="shared" si="19"/>
        <v>590000</v>
      </c>
      <c r="BM7" s="610">
        <f t="shared" si="19"/>
        <v>264000</v>
      </c>
      <c r="BN7" s="610">
        <f t="shared" si="20"/>
        <v>22174000</v>
      </c>
      <c r="BP7" s="610">
        <v>7611000</v>
      </c>
      <c r="BQ7" s="610">
        <v>2939000</v>
      </c>
      <c r="BR7" s="610">
        <v>1679000</v>
      </c>
      <c r="BS7" s="610">
        <v>22174000</v>
      </c>
      <c r="BU7" s="467">
        <v>1812000</v>
      </c>
      <c r="BV7" s="467">
        <v>640000</v>
      </c>
      <c r="BW7" s="467">
        <v>323000</v>
      </c>
      <c r="BX7" s="467">
        <f t="shared" si="0"/>
        <v>21729000</v>
      </c>
      <c r="BZ7" s="467">
        <v>5731000</v>
      </c>
      <c r="CA7" s="467">
        <v>2349000</v>
      </c>
      <c r="CB7" s="467">
        <v>1415000</v>
      </c>
      <c r="CC7" s="467">
        <v>21729000</v>
      </c>
      <c r="CE7" s="467">
        <f t="shared" si="1"/>
        <v>1896000</v>
      </c>
      <c r="CF7" s="467">
        <f t="shared" si="1"/>
        <v>845000</v>
      </c>
      <c r="CG7" s="467">
        <f t="shared" si="1"/>
        <v>531000</v>
      </c>
      <c r="CH7" s="467">
        <v>21485000</v>
      </c>
      <c r="CJ7" s="467">
        <v>3919000</v>
      </c>
      <c r="CK7" s="467">
        <v>1709000</v>
      </c>
      <c r="CL7" s="467">
        <v>1092000</v>
      </c>
      <c r="CM7" s="467">
        <v>21485000</v>
      </c>
      <c r="CO7" s="467">
        <v>2023000</v>
      </c>
      <c r="CP7" s="467">
        <v>864000</v>
      </c>
      <c r="CQ7" s="467">
        <v>561000</v>
      </c>
      <c r="CR7" s="467">
        <v>21339000</v>
      </c>
      <c r="CT7" s="467">
        <f t="shared" si="2"/>
        <v>1837094</v>
      </c>
      <c r="CU7" s="467">
        <f t="shared" si="2"/>
        <v>715992</v>
      </c>
      <c r="CV7" s="467">
        <f t="shared" si="2"/>
        <v>409711</v>
      </c>
      <c r="CW7" s="467">
        <f t="shared" si="3"/>
        <v>21117000</v>
      </c>
      <c r="CY7" s="467">
        <v>7099000</v>
      </c>
      <c r="CZ7" s="467">
        <v>2967000</v>
      </c>
      <c r="DA7" s="467">
        <v>1767000</v>
      </c>
      <c r="DB7" s="467">
        <v>21117000</v>
      </c>
      <c r="DD7" s="467">
        <f t="shared" si="4"/>
        <v>1742661</v>
      </c>
      <c r="DE7" s="467">
        <f t="shared" si="4"/>
        <v>732217</v>
      </c>
      <c r="DF7" s="467">
        <f t="shared" si="4"/>
        <v>433296</v>
      </c>
      <c r="DG7" s="467">
        <f t="shared" si="5"/>
        <v>20704377</v>
      </c>
      <c r="DI7" s="467">
        <v>5261906</v>
      </c>
      <c r="DJ7" s="467">
        <v>2251008</v>
      </c>
      <c r="DK7" s="467">
        <v>1357289</v>
      </c>
      <c r="DL7" s="467">
        <v>20704377</v>
      </c>
      <c r="DN7" s="467">
        <f t="shared" si="6"/>
        <v>1713489</v>
      </c>
      <c r="DO7" s="467">
        <f>DT7-DY7</f>
        <v>776933</v>
      </c>
      <c r="DP7" s="467">
        <f t="shared" si="6"/>
        <v>478417</v>
      </c>
      <c r="DQ7" s="467">
        <f t="shared" si="7"/>
        <v>20564755</v>
      </c>
      <c r="DS7" s="467">
        <v>3519245</v>
      </c>
      <c r="DT7" s="467">
        <v>1518791</v>
      </c>
      <c r="DU7" s="467">
        <v>923993</v>
      </c>
      <c r="DV7" s="467">
        <v>20564755</v>
      </c>
      <c r="DX7" s="467">
        <v>1805756</v>
      </c>
      <c r="DY7" s="467">
        <v>741858</v>
      </c>
      <c r="DZ7" s="467">
        <v>445576</v>
      </c>
      <c r="EA7" s="467">
        <v>20446819</v>
      </c>
      <c r="EC7" s="467">
        <f>EH7-ER7</f>
        <v>1787577</v>
      </c>
      <c r="ED7" s="467">
        <f t="shared" si="8"/>
        <v>606130</v>
      </c>
      <c r="EE7" s="467">
        <f t="shared" si="8"/>
        <v>305513</v>
      </c>
      <c r="EF7" s="467">
        <f t="shared" si="9"/>
        <v>20079215</v>
      </c>
      <c r="EH7" s="467">
        <v>6866354</v>
      </c>
      <c r="EI7" s="467">
        <v>3023006</v>
      </c>
      <c r="EJ7" s="467">
        <v>1857009</v>
      </c>
      <c r="EK7" s="467">
        <v>20079215</v>
      </c>
      <c r="EM7" s="467">
        <v>1720223</v>
      </c>
      <c r="EN7" s="467">
        <v>728175</v>
      </c>
      <c r="EO7" s="467">
        <v>436050</v>
      </c>
      <c r="EP7" s="467">
        <f t="shared" si="10"/>
        <v>19708418</v>
      </c>
      <c r="ER7" s="467">
        <v>5078777</v>
      </c>
      <c r="ES7" s="467">
        <v>2416876</v>
      </c>
      <c r="ET7" s="467">
        <v>1551496</v>
      </c>
      <c r="EU7" s="467">
        <v>19708418</v>
      </c>
      <c r="EW7" s="467">
        <f t="shared" si="11"/>
        <v>1569529</v>
      </c>
      <c r="EX7" s="468">
        <f t="shared" si="11"/>
        <v>1005158</v>
      </c>
      <c r="EY7" s="467">
        <f t="shared" si="11"/>
        <v>715011</v>
      </c>
      <c r="EZ7" s="467">
        <v>19569783</v>
      </c>
      <c r="FB7" s="467">
        <v>3358554</v>
      </c>
      <c r="FC7" s="468">
        <v>1688701</v>
      </c>
      <c r="FD7" s="467">
        <v>1115446</v>
      </c>
      <c r="FE7" s="467">
        <v>19569783</v>
      </c>
      <c r="FG7" s="467">
        <v>1789025</v>
      </c>
      <c r="FH7" s="468">
        <v>683543</v>
      </c>
      <c r="FI7" s="467">
        <v>400435</v>
      </c>
      <c r="FJ7" s="467">
        <v>19457317</v>
      </c>
      <c r="FK7" s="5"/>
      <c r="FL7" s="341">
        <v>6594864</v>
      </c>
      <c r="FM7" s="342">
        <v>2605808</v>
      </c>
      <c r="FN7" s="341">
        <v>1443741</v>
      </c>
      <c r="FO7" s="341">
        <v>19176164</v>
      </c>
      <c r="FQ7" s="341">
        <v>1696579</v>
      </c>
      <c r="FR7" s="342">
        <v>605677</v>
      </c>
      <c r="FS7" s="341">
        <v>302828</v>
      </c>
      <c r="FT7" s="341">
        <v>19176164</v>
      </c>
      <c r="FV7" s="341">
        <v>4898285</v>
      </c>
      <c r="FW7" s="342">
        <v>2000131</v>
      </c>
      <c r="FX7" s="341">
        <v>1140913</v>
      </c>
      <c r="FY7" s="341">
        <v>18653722</v>
      </c>
      <c r="GA7" s="341">
        <v>1622943</v>
      </c>
      <c r="GB7" s="342">
        <v>662812</v>
      </c>
      <c r="GC7" s="341">
        <v>376185</v>
      </c>
      <c r="GD7" s="341">
        <v>18653722</v>
      </c>
      <c r="GG7" s="341">
        <v>3275342</v>
      </c>
      <c r="GH7" s="342">
        <v>1337319</v>
      </c>
      <c r="GI7" s="341">
        <v>764728</v>
      </c>
      <c r="GJ7" s="341">
        <v>18478310</v>
      </c>
      <c r="GL7" s="341">
        <v>1594121</v>
      </c>
      <c r="GM7" s="342">
        <v>656124</v>
      </c>
      <c r="GN7" s="341">
        <v>377666</v>
      </c>
      <c r="GO7" s="341">
        <v>18478310</v>
      </c>
      <c r="GQ7" s="341">
        <v>1681221</v>
      </c>
      <c r="GR7" s="342">
        <v>681195</v>
      </c>
      <c r="GS7" s="341">
        <v>387062</v>
      </c>
      <c r="GT7" s="341">
        <v>18267535</v>
      </c>
      <c r="GV7" s="341">
        <v>6158215</v>
      </c>
      <c r="GW7" s="341">
        <v>2517465</v>
      </c>
      <c r="GX7" s="341">
        <v>1417102</v>
      </c>
      <c r="GY7" s="341">
        <v>18345603</v>
      </c>
      <c r="HA7" s="341">
        <v>1589634</v>
      </c>
      <c r="HB7" s="342">
        <v>560921</v>
      </c>
      <c r="HC7" s="341">
        <v>273743</v>
      </c>
      <c r="HD7" s="341">
        <v>18345603</v>
      </c>
      <c r="HF7" s="341">
        <v>4568581</v>
      </c>
      <c r="HG7" s="342">
        <v>1956544</v>
      </c>
      <c r="HH7" s="341">
        <v>1143359</v>
      </c>
      <c r="HI7" s="341">
        <v>17840427</v>
      </c>
      <c r="HK7" s="341">
        <v>1481610</v>
      </c>
      <c r="HL7" s="342">
        <v>620731</v>
      </c>
      <c r="HM7" s="341">
        <v>346908</v>
      </c>
      <c r="HN7" s="341">
        <v>17840427</v>
      </c>
      <c r="HP7" s="166">
        <v>3463808</v>
      </c>
      <c r="HQ7" s="319">
        <v>1335813</v>
      </c>
      <c r="HR7" s="166">
        <v>796451</v>
      </c>
      <c r="HS7" s="166">
        <v>17611246</v>
      </c>
      <c r="HU7" s="166">
        <v>1674971</v>
      </c>
      <c r="HV7" s="319">
        <v>697700</v>
      </c>
      <c r="HW7" s="166">
        <v>424886</v>
      </c>
      <c r="HX7" s="166">
        <v>17611246</v>
      </c>
      <c r="HZ7" s="156">
        <v>1788837</v>
      </c>
      <c r="IA7" s="183">
        <v>638113</v>
      </c>
      <c r="IB7" s="156">
        <v>371565</v>
      </c>
      <c r="IC7" s="156">
        <v>17380517</v>
      </c>
      <c r="IE7" s="156">
        <v>6719943</v>
      </c>
      <c r="IF7" s="156">
        <v>2282685</v>
      </c>
      <c r="IG7" s="156">
        <v>1210925</v>
      </c>
      <c r="IH7" s="156">
        <v>17409160</v>
      </c>
      <c r="IJ7" s="156">
        <v>1733033</v>
      </c>
      <c r="IK7" s="183">
        <v>488087</v>
      </c>
      <c r="IL7" s="156">
        <v>212156</v>
      </c>
      <c r="IM7" s="156">
        <v>17409160</v>
      </c>
      <c r="IN7" s="157"/>
      <c r="IO7" s="156">
        <v>4986910</v>
      </c>
      <c r="IP7" s="156">
        <v>1794598</v>
      </c>
      <c r="IQ7" s="156">
        <v>998769</v>
      </c>
      <c r="IR7" s="156">
        <v>16902087</v>
      </c>
      <c r="IS7" s="156"/>
      <c r="IT7" s="156">
        <v>1618916</v>
      </c>
      <c r="IU7" s="156">
        <v>591288</v>
      </c>
      <c r="IV7" s="156">
        <v>321449</v>
      </c>
      <c r="IW7" s="156">
        <v>16902087</v>
      </c>
      <c r="IX7" s="157"/>
      <c r="IY7" s="156">
        <v>3367994</v>
      </c>
      <c r="IZ7" s="156">
        <v>1203310</v>
      </c>
      <c r="JA7" s="156">
        <v>677320</v>
      </c>
      <c r="JB7" s="156">
        <v>16825901</v>
      </c>
      <c r="JC7" s="157"/>
      <c r="JD7" s="156">
        <f t="shared" si="12"/>
        <v>1634573</v>
      </c>
      <c r="JE7" s="156">
        <f t="shared" si="12"/>
        <v>596299</v>
      </c>
      <c r="JF7" s="156">
        <f t="shared" si="12"/>
        <v>331709</v>
      </c>
      <c r="JG7" s="156">
        <f>JL7</f>
        <v>16773561</v>
      </c>
      <c r="JH7" s="157"/>
      <c r="JI7" s="156">
        <v>1733421</v>
      </c>
      <c r="JJ7" s="156">
        <v>607011</v>
      </c>
      <c r="JK7" s="156">
        <v>345611</v>
      </c>
      <c r="JL7" s="156">
        <v>16773561</v>
      </c>
      <c r="JM7" s="157"/>
      <c r="JN7" s="156">
        <v>6310216</v>
      </c>
      <c r="JO7" s="156">
        <v>2394812</v>
      </c>
      <c r="JP7" s="156">
        <v>1363236</v>
      </c>
      <c r="JQ7" s="156">
        <v>16761938</v>
      </c>
      <c r="JR7" s="157"/>
      <c r="JS7" s="156">
        <v>1634118</v>
      </c>
      <c r="JT7" s="156">
        <v>685152</v>
      </c>
      <c r="JU7" s="156">
        <v>416722</v>
      </c>
      <c r="JV7" s="156">
        <v>16761938</v>
      </c>
      <c r="JW7" s="157"/>
      <c r="JX7" s="156">
        <v>4676098</v>
      </c>
      <c r="JY7" s="156">
        <v>1709660</v>
      </c>
      <c r="JZ7" s="156">
        <v>946514</v>
      </c>
      <c r="KA7" s="156">
        <v>16307098</v>
      </c>
      <c r="KB7" s="157"/>
      <c r="KC7" s="156">
        <v>1531592</v>
      </c>
      <c r="KD7" s="156">
        <v>562063</v>
      </c>
      <c r="KE7" s="156">
        <v>302990</v>
      </c>
      <c r="KF7" s="156">
        <v>16307098</v>
      </c>
      <c r="KG7" s="157"/>
      <c r="KH7" s="156">
        <v>3144506</v>
      </c>
      <c r="KI7" s="156">
        <v>1147597</v>
      </c>
      <c r="KJ7" s="156">
        <v>643524</v>
      </c>
      <c r="KK7" s="156">
        <v>16152899</v>
      </c>
      <c r="KL7" s="157"/>
      <c r="KM7" s="156">
        <v>1528119</v>
      </c>
      <c r="KN7" s="156">
        <v>604338</v>
      </c>
      <c r="KO7" s="156">
        <v>351932</v>
      </c>
      <c r="KP7" s="156">
        <v>16152899</v>
      </c>
      <c r="KQ7" s="157"/>
      <c r="KR7" s="156">
        <v>1616387</v>
      </c>
      <c r="KS7" s="156">
        <v>543259</v>
      </c>
      <c r="KT7" s="156">
        <v>291592</v>
      </c>
      <c r="KU7" s="156">
        <v>16019643</v>
      </c>
      <c r="KV7" s="157"/>
      <c r="KW7" s="156">
        <v>6450274</v>
      </c>
      <c r="KX7" s="156">
        <v>2372129</v>
      </c>
      <c r="KY7" s="156">
        <v>1371577</v>
      </c>
      <c r="KZ7" s="156">
        <v>15974893</v>
      </c>
      <c r="LA7" s="163"/>
      <c r="LB7" s="156">
        <v>1657399</v>
      </c>
      <c r="LC7" s="156">
        <v>532836</v>
      </c>
      <c r="LD7" s="156">
        <v>264854</v>
      </c>
      <c r="LE7" s="156">
        <v>15974893</v>
      </c>
      <c r="LF7" s="163"/>
      <c r="LG7" s="156">
        <v>4792875</v>
      </c>
      <c r="LH7" s="156">
        <v>1839293</v>
      </c>
      <c r="LI7" s="156">
        <v>1106723</v>
      </c>
      <c r="LJ7" s="156">
        <v>15402617</v>
      </c>
      <c r="LK7" s="157"/>
      <c r="LL7" s="156">
        <v>1564518</v>
      </c>
      <c r="LM7" s="156">
        <v>596633</v>
      </c>
      <c r="LN7" s="156">
        <v>348307</v>
      </c>
      <c r="LO7" s="156">
        <v>15402617</v>
      </c>
      <c r="LP7" s="157"/>
      <c r="LQ7" s="156">
        <v>3228357</v>
      </c>
      <c r="LR7" s="156">
        <v>1243279</v>
      </c>
      <c r="LS7" s="156">
        <v>758416</v>
      </c>
      <c r="LT7" s="156">
        <v>15222418</v>
      </c>
      <c r="LU7" s="157"/>
      <c r="LV7" s="156">
        <v>1585385</v>
      </c>
      <c r="LW7" s="156">
        <v>696539</v>
      </c>
      <c r="LX7" s="156">
        <v>453363</v>
      </c>
      <c r="LY7" s="156">
        <v>15222418</v>
      </c>
      <c r="LZ7" s="157"/>
      <c r="MA7" s="156">
        <v>1642972</v>
      </c>
      <c r="MB7" s="156">
        <v>546740</v>
      </c>
      <c r="MC7" s="156">
        <v>305053</v>
      </c>
      <c r="MD7" s="156">
        <v>15087347</v>
      </c>
      <c r="ME7" s="157"/>
      <c r="MF7" s="163" t="s">
        <v>83</v>
      </c>
      <c r="MG7" s="156">
        <v>280998</v>
      </c>
      <c r="MH7" s="156">
        <v>180166</v>
      </c>
      <c r="MI7" s="156">
        <v>102577</v>
      </c>
      <c r="MJ7" s="180">
        <v>1985920</v>
      </c>
      <c r="MK7" s="157"/>
      <c r="ML7" s="156">
        <v>215979</v>
      </c>
      <c r="MM7" s="156">
        <v>142418</v>
      </c>
      <c r="MN7" s="156">
        <v>82343</v>
      </c>
      <c r="MO7" s="180">
        <v>1929270</v>
      </c>
      <c r="MP7" s="157"/>
      <c r="MQ7" s="156">
        <v>144900</v>
      </c>
      <c r="MR7" s="156">
        <v>96716</v>
      </c>
      <c r="MS7" s="156">
        <v>56649</v>
      </c>
      <c r="MT7" s="180">
        <v>1929486</v>
      </c>
      <c r="MU7" s="157"/>
      <c r="MV7" s="157"/>
      <c r="MW7" s="157"/>
      <c r="MX7" s="157"/>
      <c r="MY7" s="157"/>
      <c r="MZ7" s="157"/>
      <c r="NA7" s="157"/>
      <c r="NB7" s="157"/>
      <c r="NC7" s="157"/>
      <c r="ND7" s="157"/>
      <c r="NE7" s="157"/>
      <c r="NF7" s="157"/>
      <c r="NG7" s="157"/>
      <c r="NH7" s="157"/>
      <c r="NI7" s="157"/>
      <c r="NJ7" s="157"/>
      <c r="NK7" s="157"/>
      <c r="NL7" s="157"/>
      <c r="NM7" s="157"/>
      <c r="NN7" s="157"/>
      <c r="NO7" s="157"/>
      <c r="NP7" s="157"/>
      <c r="NQ7" s="157"/>
      <c r="NR7" s="157"/>
      <c r="NS7" s="157"/>
      <c r="NT7" s="157"/>
      <c r="NU7" s="157"/>
      <c r="NV7" s="157"/>
      <c r="NW7" s="157"/>
      <c r="NX7" s="157"/>
      <c r="NY7" s="157"/>
      <c r="NZ7" s="157"/>
      <c r="OA7" s="157"/>
      <c r="OB7" s="157"/>
      <c r="OC7" s="157"/>
      <c r="OD7" s="157"/>
      <c r="OE7" s="157"/>
      <c r="OF7" s="157"/>
      <c r="OG7" s="157"/>
      <c r="OH7" s="157"/>
      <c r="OI7" s="157"/>
      <c r="OJ7" s="157"/>
      <c r="OK7" s="157"/>
      <c r="OL7" s="157"/>
    </row>
    <row r="8" spans="1:402">
      <c r="A8" s="59" t="s">
        <v>79</v>
      </c>
      <c r="C8" s="610">
        <f>([3]segmenty!$F$9)*1000</f>
        <v>20124000</v>
      </c>
      <c r="D8" s="610">
        <f>([3]segmenty!$F$34)*1000</f>
        <v>762000</v>
      </c>
      <c r="E8" s="610">
        <f>([3]segmenty!$F$31)*1000</f>
        <v>721000</v>
      </c>
      <c r="F8" s="610">
        <f>([3]segmenty!$F$25)*1000</f>
        <v>5215000</v>
      </c>
      <c r="H8" s="610">
        <f>('[3]segmenty 3 m-ce'!$F$69)*1000</f>
        <v>8421000</v>
      </c>
      <c r="I8" s="610">
        <f>('[3]segmenty 3 m-ce'!$F$84)*1000</f>
        <v>63000</v>
      </c>
      <c r="J8" s="610">
        <f>('[3]segmenty 3 m-ce'!$F$81)*1000</f>
        <v>48000</v>
      </c>
      <c r="K8" s="610">
        <f t="shared" si="13"/>
        <v>5215000</v>
      </c>
      <c r="M8" s="610">
        <v>11703000</v>
      </c>
      <c r="N8" s="610">
        <v>699000</v>
      </c>
      <c r="O8" s="610">
        <v>673000</v>
      </c>
      <c r="P8" s="610">
        <v>5370000</v>
      </c>
      <c r="R8" s="610">
        <v>5199000</v>
      </c>
      <c r="S8" s="610">
        <v>363000</v>
      </c>
      <c r="T8" s="610">
        <v>350000</v>
      </c>
      <c r="U8" s="610">
        <f t="shared" si="14"/>
        <v>5370000</v>
      </c>
      <c r="W8" s="610">
        <f>[4]segmenty!$E$9*1000</f>
        <v>6494000</v>
      </c>
      <c r="X8" s="610">
        <f>[4]segmenty!$E$34*1000</f>
        <v>335000</v>
      </c>
      <c r="Y8" s="610">
        <f>[4]segmenty!$E$31*1000</f>
        <v>322000</v>
      </c>
      <c r="Z8" s="610">
        <f>[4]segmenty!$E$25*1000</f>
        <v>6851000</v>
      </c>
      <c r="AB8" s="610">
        <f>([5]segmenty!$E$9)*1000</f>
        <v>35803000</v>
      </c>
      <c r="AC8" s="610">
        <f>([5]segmenty!$E$34)*1000</f>
        <v>568000</v>
      </c>
      <c r="AD8" s="610">
        <f>([5]segmenty!$E$31)*1000</f>
        <v>522000</v>
      </c>
      <c r="AE8" s="610">
        <f>([5]segmenty!$E$25)*1000</f>
        <v>8550000</v>
      </c>
      <c r="AG8" s="610">
        <f t="shared" si="15"/>
        <v>8533000</v>
      </c>
      <c r="AH8" s="610">
        <f t="shared" si="15"/>
        <v>112000</v>
      </c>
      <c r="AI8" s="610">
        <f t="shared" si="15"/>
        <v>108000</v>
      </c>
      <c r="AJ8" s="610">
        <f t="shared" si="16"/>
        <v>8550000</v>
      </c>
      <c r="AL8" s="610">
        <f>([6]segmenty!$E$9)*1000</f>
        <v>27270000</v>
      </c>
      <c r="AM8" s="610">
        <f>([6]segmenty!$E$34)*1000</f>
        <v>456000</v>
      </c>
      <c r="AN8" s="610">
        <f>([6]segmenty!$E$31)*1000</f>
        <v>414000</v>
      </c>
      <c r="AO8" s="610">
        <f>([6]segmenty!$E$25)*1000</f>
        <v>8842000</v>
      </c>
      <c r="AQ8" s="610">
        <f>('[6]segmenty 3 m-ce PREZ'!$E$9)*1000</f>
        <v>6349000</v>
      </c>
      <c r="AR8" s="610">
        <f>('[6]segmenty 3 m-ce PREZ'!$E$16)*1000</f>
        <v>-91000</v>
      </c>
      <c r="AS8" s="610">
        <f>('[6]segmenty 3 m-ce PREZ'!$E$12)*1000</f>
        <v>-104000</v>
      </c>
      <c r="AT8" s="610">
        <f t="shared" si="17"/>
        <v>8842000</v>
      </c>
      <c r="AV8" s="610">
        <f>[7]segmenty!$E$9*1000</f>
        <v>20921000</v>
      </c>
      <c r="AW8" s="610">
        <f>[7]segmenty!$E$34*1000</f>
        <v>547000</v>
      </c>
      <c r="AX8" s="610">
        <f>[7]segmenty!$E$31*1000</f>
        <v>518000</v>
      </c>
      <c r="AY8" s="610">
        <f>[7]segmenty!$E$25*1000</f>
        <v>8069000</v>
      </c>
      <c r="BA8" s="610">
        <f>('[7]segmenty 3 m-ce'!$E$69)*1000</f>
        <v>8689000</v>
      </c>
      <c r="BB8" s="610">
        <f>('[7]segmenty 3 m-ce'!$E$84)*1000</f>
        <v>402000</v>
      </c>
      <c r="BC8" s="610">
        <f>('[7]segmenty 3 m-ce'!$E$81)*1000</f>
        <v>386000</v>
      </c>
      <c r="BD8" s="610">
        <f t="shared" si="18"/>
        <v>8069000</v>
      </c>
      <c r="BF8" s="610">
        <f>[8]segmenty!$E$9*1000</f>
        <v>12232000</v>
      </c>
      <c r="BG8" s="610">
        <f>[8]segmenty!$E$34*1000</f>
        <v>145000</v>
      </c>
      <c r="BH8" s="610">
        <f>[8]segmenty!$E$31*1000</f>
        <v>132000</v>
      </c>
      <c r="BI8" s="610">
        <f>[8]segmenty!$E$25*1000</f>
        <v>10826000</v>
      </c>
      <c r="BK8" s="610">
        <f t="shared" si="19"/>
        <v>9180000</v>
      </c>
      <c r="BL8" s="610">
        <f t="shared" si="19"/>
        <v>85000</v>
      </c>
      <c r="BM8" s="610">
        <f t="shared" si="19"/>
        <v>74000</v>
      </c>
      <c r="BN8" s="610">
        <f t="shared" si="20"/>
        <v>6701000</v>
      </c>
      <c r="BP8" s="610">
        <v>35491000</v>
      </c>
      <c r="BQ8" s="610">
        <v>594000</v>
      </c>
      <c r="BR8" s="610">
        <v>550000</v>
      </c>
      <c r="BS8" s="610">
        <v>6701000</v>
      </c>
      <c r="BU8" s="467">
        <v>8058000</v>
      </c>
      <c r="BV8" s="467">
        <v>468000</v>
      </c>
      <c r="BW8" s="467">
        <v>457000</v>
      </c>
      <c r="BX8" s="467">
        <f t="shared" si="0"/>
        <v>6480000</v>
      </c>
      <c r="BZ8" s="467">
        <v>26311000</v>
      </c>
      <c r="CA8" s="467">
        <v>509000</v>
      </c>
      <c r="CB8" s="467">
        <v>476000</v>
      </c>
      <c r="CC8" s="467">
        <v>6480000</v>
      </c>
      <c r="CE8" s="467">
        <f t="shared" si="1"/>
        <v>7670000</v>
      </c>
      <c r="CF8" s="467">
        <f t="shared" si="1"/>
        <v>144000</v>
      </c>
      <c r="CG8" s="467">
        <f t="shared" si="1"/>
        <v>132000</v>
      </c>
      <c r="CH8" s="467">
        <v>5667000</v>
      </c>
      <c r="CJ8" s="467">
        <v>18257000</v>
      </c>
      <c r="CK8" s="467">
        <v>41000</v>
      </c>
      <c r="CL8" s="467">
        <v>19000</v>
      </c>
      <c r="CM8" s="467">
        <v>5667000</v>
      </c>
      <c r="CO8" s="467">
        <v>10587000</v>
      </c>
      <c r="CP8" s="467">
        <v>-103000</v>
      </c>
      <c r="CQ8" s="467">
        <v>-113000</v>
      </c>
      <c r="CR8" s="467">
        <v>5899000</v>
      </c>
      <c r="CT8" s="467">
        <f t="shared" si="2"/>
        <v>7795708</v>
      </c>
      <c r="CU8" s="467">
        <f t="shared" si="2"/>
        <v>-500916</v>
      </c>
      <c r="CV8" s="467">
        <f t="shared" si="2"/>
        <v>-510152</v>
      </c>
      <c r="CW8" s="467">
        <f t="shared" si="3"/>
        <v>4508000</v>
      </c>
      <c r="CY8" s="467">
        <v>24134000</v>
      </c>
      <c r="CZ8" s="467">
        <v>-524000</v>
      </c>
      <c r="DA8" s="467">
        <v>-564000</v>
      </c>
      <c r="DB8" s="467">
        <v>4508000</v>
      </c>
      <c r="DD8" s="467">
        <f t="shared" si="4"/>
        <v>5613346</v>
      </c>
      <c r="DE8" s="467">
        <f t="shared" si="4"/>
        <v>-259613</v>
      </c>
      <c r="DF8" s="467">
        <f t="shared" si="4"/>
        <v>-270528</v>
      </c>
      <c r="DG8" s="467">
        <f t="shared" si="5"/>
        <v>4393222</v>
      </c>
      <c r="DI8" s="467">
        <v>16338292</v>
      </c>
      <c r="DJ8" s="467">
        <v>-23084</v>
      </c>
      <c r="DK8" s="467">
        <v>-53848</v>
      </c>
      <c r="DL8" s="467">
        <v>4393222</v>
      </c>
      <c r="DN8" s="467">
        <f t="shared" si="6"/>
        <v>4644755</v>
      </c>
      <c r="DO8" s="467">
        <f t="shared" si="6"/>
        <v>2408</v>
      </c>
      <c r="DP8" s="467">
        <f t="shared" si="6"/>
        <v>-7803</v>
      </c>
      <c r="DQ8" s="467">
        <f t="shared" si="7"/>
        <v>4415857</v>
      </c>
      <c r="DS8" s="467">
        <v>10724946</v>
      </c>
      <c r="DT8" s="467">
        <v>236529</v>
      </c>
      <c r="DU8" s="467">
        <v>216680</v>
      </c>
      <c r="DV8" s="467">
        <v>4415857</v>
      </c>
      <c r="DX8" s="467">
        <v>6080191</v>
      </c>
      <c r="DY8" s="467">
        <v>234121</v>
      </c>
      <c r="DZ8" s="467">
        <v>224483</v>
      </c>
      <c r="EA8" s="467">
        <v>5326016</v>
      </c>
      <c r="EC8" s="467">
        <f t="shared" si="8"/>
        <v>5098664</v>
      </c>
      <c r="ED8" s="467">
        <f t="shared" si="8"/>
        <v>42809</v>
      </c>
      <c r="EE8" s="467">
        <f t="shared" si="8"/>
        <v>34247</v>
      </c>
      <c r="EF8" s="467">
        <f t="shared" si="9"/>
        <v>4614093</v>
      </c>
      <c r="EH8" s="467">
        <v>17249258</v>
      </c>
      <c r="EI8" s="467">
        <v>683352</v>
      </c>
      <c r="EJ8" s="467">
        <v>641648</v>
      </c>
      <c r="EK8" s="467">
        <v>4614093</v>
      </c>
      <c r="EM8" s="467">
        <v>4136093</v>
      </c>
      <c r="EN8" s="467">
        <v>237639</v>
      </c>
      <c r="EO8" s="467">
        <v>228215</v>
      </c>
      <c r="EP8" s="467">
        <f t="shared" si="10"/>
        <v>4015581</v>
      </c>
      <c r="ER8" s="467">
        <v>12150594</v>
      </c>
      <c r="ES8" s="467">
        <v>640543</v>
      </c>
      <c r="ET8" s="467">
        <v>607401</v>
      </c>
      <c r="EU8" s="467">
        <v>4015581</v>
      </c>
      <c r="EW8" s="467">
        <f t="shared" si="11"/>
        <v>3783659</v>
      </c>
      <c r="EX8" s="468">
        <f t="shared" si="11"/>
        <v>220472</v>
      </c>
      <c r="EY8" s="467">
        <f t="shared" si="11"/>
        <v>208415</v>
      </c>
      <c r="EZ8" s="467">
        <v>3932067</v>
      </c>
      <c r="FB8" s="467">
        <v>8014501</v>
      </c>
      <c r="FC8" s="468">
        <v>402904</v>
      </c>
      <c r="FD8" s="467">
        <v>379186</v>
      </c>
      <c r="FE8" s="467">
        <v>3932067</v>
      </c>
      <c r="FG8" s="467">
        <v>4230842</v>
      </c>
      <c r="FH8" s="468">
        <v>182432</v>
      </c>
      <c r="FI8" s="467">
        <v>170771</v>
      </c>
      <c r="FJ8" s="467">
        <v>5683262</v>
      </c>
      <c r="FK8" s="5"/>
      <c r="FL8" s="341">
        <v>14907937</v>
      </c>
      <c r="FM8" s="342">
        <v>428577</v>
      </c>
      <c r="FN8" s="341">
        <v>382185</v>
      </c>
      <c r="FO8" s="341">
        <v>4730135</v>
      </c>
      <c r="FQ8" s="341">
        <v>4508216</v>
      </c>
      <c r="FR8" s="342">
        <v>-105072</v>
      </c>
      <c r="FS8" s="341">
        <v>-121577</v>
      </c>
      <c r="FT8" s="341">
        <v>4730135</v>
      </c>
      <c r="FV8" s="341">
        <v>11221177</v>
      </c>
      <c r="FW8" s="342">
        <v>533649</v>
      </c>
      <c r="FX8" s="341">
        <v>503762</v>
      </c>
      <c r="FY8" s="341">
        <v>5467453</v>
      </c>
      <c r="GA8" s="341">
        <v>3574882</v>
      </c>
      <c r="GB8" s="342">
        <v>110407</v>
      </c>
      <c r="GC8" s="341">
        <v>100132</v>
      </c>
      <c r="GD8" s="341">
        <v>5467453</v>
      </c>
      <c r="GG8" s="341">
        <v>7646295</v>
      </c>
      <c r="GH8" s="342">
        <v>423242</v>
      </c>
      <c r="GI8" s="341">
        <v>403630</v>
      </c>
      <c r="GJ8" s="341">
        <v>5007556</v>
      </c>
      <c r="GL8" s="341">
        <v>3734873</v>
      </c>
      <c r="GM8" s="342">
        <v>258311</v>
      </c>
      <c r="GN8" s="341">
        <v>248406</v>
      </c>
      <c r="GO8" s="341">
        <v>5007556</v>
      </c>
      <c r="GQ8" s="341">
        <v>3911422</v>
      </c>
      <c r="GR8" s="342">
        <v>164931</v>
      </c>
      <c r="GS8" s="341">
        <v>155224</v>
      </c>
      <c r="GT8" s="341">
        <v>4159845</v>
      </c>
      <c r="GV8" s="341">
        <v>14074115</v>
      </c>
      <c r="GW8" s="341">
        <v>320543</v>
      </c>
      <c r="GX8" s="341">
        <v>306481</v>
      </c>
      <c r="GY8" s="341">
        <v>3379688</v>
      </c>
      <c r="HA8" s="341">
        <v>4246144</v>
      </c>
      <c r="HB8" s="342">
        <v>-130503</v>
      </c>
      <c r="HC8" s="341">
        <v>-139147</v>
      </c>
      <c r="HD8" s="341">
        <v>3379688</v>
      </c>
      <c r="HF8" s="341">
        <v>9827971</v>
      </c>
      <c r="HG8" s="342">
        <v>451046</v>
      </c>
      <c r="HH8" s="341">
        <v>445628</v>
      </c>
      <c r="HI8" s="341">
        <v>3730514</v>
      </c>
      <c r="HK8" s="341">
        <v>3415412</v>
      </c>
      <c r="HL8" s="342">
        <v>124688</v>
      </c>
      <c r="HM8" s="341">
        <v>123068</v>
      </c>
      <c r="HN8" s="341">
        <v>3730514</v>
      </c>
      <c r="HP8" s="166">
        <v>6615132</v>
      </c>
      <c r="HQ8" s="319">
        <v>326358</v>
      </c>
      <c r="HR8" s="166">
        <v>322560</v>
      </c>
      <c r="HS8" s="166">
        <v>2748081</v>
      </c>
      <c r="HU8" s="166">
        <v>3161469</v>
      </c>
      <c r="HV8" s="319">
        <v>148570</v>
      </c>
      <c r="HW8" s="166">
        <v>146778</v>
      </c>
      <c r="HX8" s="166">
        <v>2748081</v>
      </c>
      <c r="HZ8" s="156">
        <v>3453663</v>
      </c>
      <c r="IA8" s="183">
        <v>177788</v>
      </c>
      <c r="IB8" s="156">
        <v>175782</v>
      </c>
      <c r="IC8" s="156">
        <v>2878641</v>
      </c>
      <c r="IE8" s="156">
        <v>13567887</v>
      </c>
      <c r="IF8" s="156">
        <v>841222</v>
      </c>
      <c r="IG8" s="156">
        <v>832216</v>
      </c>
      <c r="IH8" s="156">
        <v>3041966</v>
      </c>
      <c r="IJ8" s="156">
        <v>3760678</v>
      </c>
      <c r="IK8" s="183">
        <v>150244</v>
      </c>
      <c r="IL8" s="156">
        <v>148297</v>
      </c>
      <c r="IM8" s="156">
        <v>3041966</v>
      </c>
      <c r="IN8" s="157"/>
      <c r="IO8" s="156">
        <v>9807209</v>
      </c>
      <c r="IP8" s="156">
        <v>690978</v>
      </c>
      <c r="IQ8" s="156">
        <v>683919</v>
      </c>
      <c r="IR8" s="156">
        <v>4130769</v>
      </c>
      <c r="IS8" s="156"/>
      <c r="IT8" s="156">
        <v>3130213</v>
      </c>
      <c r="IU8" s="156">
        <v>145582</v>
      </c>
      <c r="IV8" s="156">
        <v>143502</v>
      </c>
      <c r="IW8" s="156">
        <v>4130769</v>
      </c>
      <c r="IX8" s="157"/>
      <c r="IY8" s="156">
        <v>6676996</v>
      </c>
      <c r="IZ8" s="156">
        <v>545396</v>
      </c>
      <c r="JA8" s="156">
        <v>540417</v>
      </c>
      <c r="JB8" s="156">
        <v>2033300</v>
      </c>
      <c r="JC8" s="157"/>
      <c r="JD8" s="156">
        <f t="shared" si="12"/>
        <v>3059559</v>
      </c>
      <c r="JE8" s="156">
        <f t="shared" si="12"/>
        <v>165425</v>
      </c>
      <c r="JF8" s="156">
        <f t="shared" si="12"/>
        <v>163143</v>
      </c>
      <c r="JG8" s="156">
        <f>JL8</f>
        <v>2252443</v>
      </c>
      <c r="JH8" s="157"/>
      <c r="JI8" s="156">
        <v>3617437</v>
      </c>
      <c r="JJ8" s="156">
        <v>379971</v>
      </c>
      <c r="JK8" s="156">
        <v>377274</v>
      </c>
      <c r="JL8" s="156">
        <v>2252443</v>
      </c>
      <c r="JM8" s="157"/>
      <c r="JN8" s="156">
        <v>14016190</v>
      </c>
      <c r="JO8" s="156">
        <v>490005</v>
      </c>
      <c r="JP8" s="156">
        <v>479374</v>
      </c>
      <c r="JQ8" s="156">
        <v>2659458</v>
      </c>
      <c r="JR8" s="157"/>
      <c r="JS8" s="156">
        <v>3729207</v>
      </c>
      <c r="JT8" s="156">
        <v>92886</v>
      </c>
      <c r="JU8" s="156">
        <v>90563</v>
      </c>
      <c r="JV8" s="156">
        <v>2659458</v>
      </c>
      <c r="JW8" s="157"/>
      <c r="JX8" s="156">
        <v>10286983</v>
      </c>
      <c r="JY8" s="156">
        <v>397119</v>
      </c>
      <c r="JZ8" s="156">
        <v>388811</v>
      </c>
      <c r="KA8" s="156">
        <v>2204864</v>
      </c>
      <c r="KB8" s="157"/>
      <c r="KC8" s="156">
        <v>3299797</v>
      </c>
      <c r="KD8" s="156">
        <v>117315</v>
      </c>
      <c r="KE8" s="156">
        <v>114921</v>
      </c>
      <c r="KF8" s="156">
        <v>2204864</v>
      </c>
      <c r="KG8" s="157"/>
      <c r="KH8" s="156">
        <v>6987186</v>
      </c>
      <c r="KI8" s="156">
        <v>279804</v>
      </c>
      <c r="KJ8" s="156">
        <v>273890</v>
      </c>
      <c r="KK8" s="156">
        <v>2310378</v>
      </c>
      <c r="KL8" s="157"/>
      <c r="KM8" s="156">
        <v>3395998</v>
      </c>
      <c r="KN8" s="156">
        <v>113042</v>
      </c>
      <c r="KO8" s="156">
        <v>113669</v>
      </c>
      <c r="KP8" s="156">
        <v>2310378</v>
      </c>
      <c r="KQ8" s="157"/>
      <c r="KR8" s="156">
        <v>3591188</v>
      </c>
      <c r="KS8" s="156">
        <v>166762</v>
      </c>
      <c r="KT8" s="156">
        <v>160221</v>
      </c>
      <c r="KU8" s="156">
        <v>2398142</v>
      </c>
      <c r="KV8" s="157"/>
      <c r="KW8" s="156">
        <v>15984139</v>
      </c>
      <c r="KX8" s="156">
        <v>380480</v>
      </c>
      <c r="KY8" s="156">
        <v>369604</v>
      </c>
      <c r="KZ8" s="156">
        <v>2706907</v>
      </c>
      <c r="LA8" s="163"/>
      <c r="LB8" s="156">
        <v>4170986</v>
      </c>
      <c r="LC8" s="156">
        <v>-71455</v>
      </c>
      <c r="LD8" s="156">
        <v>-74193</v>
      </c>
      <c r="LE8" s="156">
        <v>2706907</v>
      </c>
      <c r="LF8" s="163"/>
      <c r="LG8" s="156">
        <v>11813153</v>
      </c>
      <c r="LH8" s="156">
        <v>451935</v>
      </c>
      <c r="LI8" s="156">
        <v>443797</v>
      </c>
      <c r="LJ8" s="156">
        <v>3016254</v>
      </c>
      <c r="LK8" s="157"/>
      <c r="LL8" s="156">
        <v>3719173</v>
      </c>
      <c r="LM8" s="156">
        <v>116782</v>
      </c>
      <c r="LN8" s="156">
        <v>114042</v>
      </c>
      <c r="LO8" s="156">
        <v>3016254</v>
      </c>
      <c r="LP8" s="157"/>
      <c r="LQ8" s="156">
        <v>8093980</v>
      </c>
      <c r="LR8" s="156">
        <v>335153</v>
      </c>
      <c r="LS8" s="156">
        <v>329755</v>
      </c>
      <c r="LT8" s="156">
        <v>2836963</v>
      </c>
      <c r="LU8" s="157"/>
      <c r="LV8" s="156">
        <v>3915698</v>
      </c>
      <c r="LW8" s="156">
        <v>141382</v>
      </c>
      <c r="LX8" s="156">
        <v>138710</v>
      </c>
      <c r="LY8" s="156">
        <v>2836963</v>
      </c>
      <c r="LZ8" s="157"/>
      <c r="MA8" s="156">
        <v>4178282</v>
      </c>
      <c r="MB8" s="156">
        <v>193771</v>
      </c>
      <c r="MC8" s="156">
        <v>191045</v>
      </c>
      <c r="MD8" s="156">
        <v>3003005</v>
      </c>
      <c r="ME8" s="157"/>
      <c r="MF8" s="163" t="s">
        <v>84</v>
      </c>
      <c r="MG8" s="156">
        <v>1355454</v>
      </c>
      <c r="MH8" s="156">
        <v>308407</v>
      </c>
      <c r="MI8" s="156">
        <v>158763</v>
      </c>
      <c r="MJ8" s="156">
        <v>2781001</v>
      </c>
      <c r="MK8" s="157"/>
      <c r="ML8" s="156">
        <v>966998</v>
      </c>
      <c r="MM8" s="156">
        <v>181802</v>
      </c>
      <c r="MN8" s="156">
        <v>71156</v>
      </c>
      <c r="MO8" s="156">
        <v>3101958</v>
      </c>
      <c r="MP8" s="157"/>
      <c r="MQ8" s="156">
        <v>717877</v>
      </c>
      <c r="MR8" s="156">
        <v>165226</v>
      </c>
      <c r="MS8" s="156">
        <v>92480</v>
      </c>
      <c r="MT8" s="156">
        <v>2962505</v>
      </c>
      <c r="MU8" s="157"/>
      <c r="MV8" s="157"/>
      <c r="MW8" s="157"/>
      <c r="MX8" s="157"/>
      <c r="MY8" s="157"/>
      <c r="MZ8" s="157"/>
      <c r="NA8" s="157"/>
      <c r="NB8" s="157"/>
      <c r="NC8" s="157"/>
      <c r="ND8" s="157"/>
      <c r="NE8" s="157"/>
      <c r="NF8" s="157"/>
      <c r="NG8" s="157"/>
      <c r="NH8" s="157"/>
      <c r="NI8" s="157"/>
      <c r="NJ8" s="157"/>
      <c r="NK8" s="157"/>
      <c r="NL8" s="157"/>
      <c r="NM8" s="157"/>
      <c r="NN8" s="157"/>
      <c r="NO8" s="157"/>
      <c r="NP8" s="157"/>
      <c r="NQ8" s="157"/>
      <c r="NR8" s="157"/>
      <c r="NS8" s="157"/>
      <c r="NT8" s="157"/>
      <c r="NU8" s="157"/>
      <c r="NV8" s="157"/>
      <c r="NW8" s="157"/>
      <c r="NX8" s="157"/>
      <c r="NY8" s="157"/>
      <c r="NZ8" s="157"/>
      <c r="OA8" s="157"/>
      <c r="OB8" s="157"/>
      <c r="OC8" s="157"/>
      <c r="OD8" s="157"/>
      <c r="OE8" s="157"/>
      <c r="OF8" s="157"/>
      <c r="OG8" s="157"/>
      <c r="OH8" s="157"/>
      <c r="OI8" s="157"/>
      <c r="OJ8" s="157"/>
      <c r="OK8" s="157"/>
      <c r="OL8" s="157"/>
    </row>
    <row r="9" spans="1:402">
      <c r="A9" s="59" t="s">
        <v>80</v>
      </c>
      <c r="C9" s="610">
        <f>([3]segmenty!$G$9)*1000</f>
        <v>937000</v>
      </c>
      <c r="D9" s="610">
        <f>([3]segmenty!$G$34)*1000</f>
        <v>314000</v>
      </c>
      <c r="E9" s="610">
        <f>([3]segmenty!$G$31)*1000</f>
        <v>146000</v>
      </c>
      <c r="F9" s="610">
        <f>([3]segmenty!$G$25)*1000</f>
        <v>1265000</v>
      </c>
      <c r="H9" s="610">
        <f>('[3]segmenty 3 m-ce'!$G$69)*1000</f>
        <v>309000</v>
      </c>
      <c r="I9" s="610">
        <f>('[3]segmenty 3 m-ce'!$G$84)*1000</f>
        <v>100000</v>
      </c>
      <c r="J9" s="610">
        <f>('[3]segmenty 3 m-ce'!$G$81)*1000</f>
        <v>43000</v>
      </c>
      <c r="K9" s="610">
        <f t="shared" si="13"/>
        <v>1265000</v>
      </c>
      <c r="M9" s="610">
        <v>628000</v>
      </c>
      <c r="N9" s="610">
        <v>214000</v>
      </c>
      <c r="O9" s="610">
        <v>103000</v>
      </c>
      <c r="P9" s="610">
        <v>1264000</v>
      </c>
      <c r="R9" s="610">
        <v>308000</v>
      </c>
      <c r="S9" s="610">
        <v>113000</v>
      </c>
      <c r="T9" s="610">
        <v>60000</v>
      </c>
      <c r="U9" s="610">
        <f t="shared" si="14"/>
        <v>1264000</v>
      </c>
      <c r="W9" s="610">
        <f>[4]segmenty!$F$9*1000</f>
        <v>421000</v>
      </c>
      <c r="X9" s="610">
        <f>[4]segmenty!$F$34*1000</f>
        <v>110000</v>
      </c>
      <c r="Y9" s="610">
        <f>[4]segmenty!$F$31*1000</f>
        <v>53000</v>
      </c>
      <c r="Z9" s="610">
        <f>[4]segmenty!$F$25*1000</f>
        <v>1296000</v>
      </c>
      <c r="AB9" s="610">
        <f>([5]segmenty!$F$9)*1000</f>
        <v>1542000</v>
      </c>
      <c r="AC9" s="610">
        <f>([5]segmenty!$F$34)*1000</f>
        <v>273000</v>
      </c>
      <c r="AD9" s="610">
        <f>([5]segmenty!$F$31)*1000</f>
        <v>96000</v>
      </c>
      <c r="AE9" s="610">
        <f>([5]segmenty!$F$25)*1000</f>
        <v>1317000</v>
      </c>
      <c r="AG9" s="610">
        <f t="shared" si="15"/>
        <v>460000</v>
      </c>
      <c r="AH9" s="610">
        <f t="shared" si="15"/>
        <v>105000</v>
      </c>
      <c r="AI9" s="610">
        <f t="shared" si="15"/>
        <v>59000</v>
      </c>
      <c r="AJ9" s="610">
        <f t="shared" si="16"/>
        <v>1317000</v>
      </c>
      <c r="AL9" s="610">
        <f>([6]segmenty!$F$9)*1000</f>
        <v>1082000</v>
      </c>
      <c r="AM9" s="610">
        <f>([6]segmenty!$F$34)*1000</f>
        <v>168000</v>
      </c>
      <c r="AN9" s="610">
        <f>([6]segmenty!$F$31)*1000</f>
        <v>37000</v>
      </c>
      <c r="AO9" s="610">
        <f>([6]segmenty!$F$25)*1000</f>
        <v>1130000</v>
      </c>
      <c r="AQ9" s="610">
        <f>('[6]segmenty 3 m-ce PREZ'!$F$9)*1000</f>
        <v>357000</v>
      </c>
      <c r="AR9" s="610">
        <f>('[6]segmenty 3 m-ce PREZ'!$F$16)*1000</f>
        <v>53000</v>
      </c>
      <c r="AS9" s="610">
        <f>('[6]segmenty 3 m-ce PREZ'!$F$12)*1000</f>
        <v>7000</v>
      </c>
      <c r="AT9" s="610">
        <f t="shared" si="17"/>
        <v>1130000</v>
      </c>
      <c r="AV9" s="610">
        <f>[7]segmenty!$F$9*1000</f>
        <v>725000</v>
      </c>
      <c r="AW9" s="610">
        <f>[7]segmenty!$F$34*1000</f>
        <v>115000</v>
      </c>
      <c r="AX9" s="610">
        <f>[7]segmenty!$F$31*1000</f>
        <v>30000</v>
      </c>
      <c r="AY9" s="610">
        <f>[7]segmenty!$F$25*1000</f>
        <v>1147000</v>
      </c>
      <c r="BA9" s="610">
        <f>('[7]segmenty 3 m-ce'!$F$69)*1000</f>
        <v>339000</v>
      </c>
      <c r="BB9" s="610">
        <f>('[7]segmenty 3 m-ce'!$F$84)*1000</f>
        <v>45000</v>
      </c>
      <c r="BC9" s="610">
        <f>('[7]segmenty 3 m-ce'!$F$81)*1000</f>
        <v>3000</v>
      </c>
      <c r="BD9" s="610">
        <f t="shared" si="18"/>
        <v>1147000</v>
      </c>
      <c r="BF9" s="610">
        <f>[8]segmenty!$F$9*1000</f>
        <v>386000</v>
      </c>
      <c r="BG9" s="610">
        <f>[8]segmenty!$F$34*1000</f>
        <v>70000</v>
      </c>
      <c r="BH9" s="610">
        <f>[8]segmenty!$F$31*1000</f>
        <v>27000</v>
      </c>
      <c r="BI9" s="610">
        <f>[8]segmenty!$F$25*1000</f>
        <v>1144000</v>
      </c>
      <c r="BK9" s="610">
        <f t="shared" si="19"/>
        <v>373000</v>
      </c>
      <c r="BL9" s="610">
        <f t="shared" si="19"/>
        <v>129000</v>
      </c>
      <c r="BM9" s="610">
        <f t="shared" si="19"/>
        <v>92000</v>
      </c>
      <c r="BN9" s="610">
        <f t="shared" si="20"/>
        <v>1156000</v>
      </c>
      <c r="BP9" s="610">
        <v>1428000</v>
      </c>
      <c r="BQ9" s="610">
        <v>298000</v>
      </c>
      <c r="BR9" s="610">
        <v>163000</v>
      </c>
      <c r="BS9" s="610">
        <v>1156000</v>
      </c>
      <c r="BU9" s="467">
        <v>350000</v>
      </c>
      <c r="BV9" s="467">
        <v>44000</v>
      </c>
      <c r="BW9" s="467">
        <v>12000</v>
      </c>
      <c r="BX9" s="467">
        <f t="shared" si="0"/>
        <v>1021000</v>
      </c>
      <c r="BZ9" s="467">
        <v>1055000</v>
      </c>
      <c r="CA9" s="467">
        <v>169000</v>
      </c>
      <c r="CB9" s="467">
        <v>71000</v>
      </c>
      <c r="CC9" s="467">
        <v>1021000</v>
      </c>
      <c r="CE9" s="467">
        <f t="shared" si="1"/>
        <v>346000</v>
      </c>
      <c r="CF9" s="467">
        <f t="shared" si="1"/>
        <v>65000</v>
      </c>
      <c r="CG9" s="467">
        <f t="shared" si="1"/>
        <v>30000</v>
      </c>
      <c r="CH9" s="467">
        <v>1023000</v>
      </c>
      <c r="CJ9" s="467">
        <v>705000</v>
      </c>
      <c r="CK9" s="467">
        <v>125000</v>
      </c>
      <c r="CL9" s="467">
        <v>59000</v>
      </c>
      <c r="CM9" s="467">
        <v>1023000</v>
      </c>
      <c r="CO9" s="467">
        <v>359000</v>
      </c>
      <c r="CP9" s="467">
        <v>60000</v>
      </c>
      <c r="CQ9" s="467">
        <v>29000</v>
      </c>
      <c r="CR9" s="467">
        <v>895000</v>
      </c>
      <c r="CT9" s="467">
        <f t="shared" si="2"/>
        <v>337835</v>
      </c>
      <c r="CU9" s="467">
        <f t="shared" si="2"/>
        <v>57813</v>
      </c>
      <c r="CV9" s="467">
        <f t="shared" si="2"/>
        <v>23662</v>
      </c>
      <c r="CW9" s="467">
        <f t="shared" si="3"/>
        <v>891000</v>
      </c>
      <c r="CY9" s="467">
        <v>1177000</v>
      </c>
      <c r="CZ9" s="467">
        <v>208000</v>
      </c>
      <c r="DA9" s="467">
        <v>92000</v>
      </c>
      <c r="DB9" s="467">
        <v>891000</v>
      </c>
      <c r="DD9" s="467">
        <f t="shared" si="4"/>
        <v>279664</v>
      </c>
      <c r="DE9" s="467">
        <f t="shared" si="4"/>
        <v>44509</v>
      </c>
      <c r="DF9" s="467">
        <f t="shared" si="4"/>
        <v>15730</v>
      </c>
      <c r="DG9" s="467">
        <f t="shared" si="5"/>
        <v>814436</v>
      </c>
      <c r="DI9" s="467">
        <v>839165</v>
      </c>
      <c r="DJ9" s="467">
        <v>150187</v>
      </c>
      <c r="DK9" s="467">
        <v>68338</v>
      </c>
      <c r="DL9" s="467">
        <v>814436</v>
      </c>
      <c r="DN9" s="467">
        <f t="shared" si="6"/>
        <v>272593</v>
      </c>
      <c r="DO9" s="467">
        <f t="shared" si="6"/>
        <v>55913</v>
      </c>
      <c r="DP9" s="467">
        <f t="shared" si="6"/>
        <v>28579</v>
      </c>
      <c r="DQ9" s="467">
        <f t="shared" si="7"/>
        <v>799896</v>
      </c>
      <c r="DS9" s="467">
        <v>559501</v>
      </c>
      <c r="DT9" s="467">
        <v>105678</v>
      </c>
      <c r="DU9" s="467">
        <v>52608</v>
      </c>
      <c r="DV9" s="467">
        <v>799896</v>
      </c>
      <c r="DX9" s="467">
        <v>286908</v>
      </c>
      <c r="DY9" s="467">
        <v>49765</v>
      </c>
      <c r="DZ9" s="467">
        <v>24029</v>
      </c>
      <c r="EA9" s="467">
        <v>813988</v>
      </c>
      <c r="EC9" s="467">
        <f t="shared" si="8"/>
        <v>292450</v>
      </c>
      <c r="ED9" s="467">
        <f t="shared" si="8"/>
        <v>17861</v>
      </c>
      <c r="EE9" s="467">
        <f t="shared" si="8"/>
        <v>-6467</v>
      </c>
      <c r="EF9" s="467">
        <f t="shared" si="9"/>
        <v>775856</v>
      </c>
      <c r="EH9" s="467">
        <v>1114492</v>
      </c>
      <c r="EI9" s="467">
        <v>229305</v>
      </c>
      <c r="EJ9" s="467">
        <v>136169</v>
      </c>
      <c r="EK9" s="467">
        <v>775856</v>
      </c>
      <c r="EM9" s="467">
        <v>286091</v>
      </c>
      <c r="EN9" s="467">
        <v>49065</v>
      </c>
      <c r="EO9" s="467">
        <v>24446</v>
      </c>
      <c r="EP9" s="467">
        <f t="shared" si="10"/>
        <v>668133</v>
      </c>
      <c r="ER9" s="467">
        <v>822042</v>
      </c>
      <c r="ES9" s="467">
        <v>211444</v>
      </c>
      <c r="ET9" s="467">
        <v>142636</v>
      </c>
      <c r="EU9" s="467">
        <v>668133</v>
      </c>
      <c r="EW9" s="467">
        <f t="shared" si="11"/>
        <v>273482</v>
      </c>
      <c r="EX9" s="468">
        <f t="shared" si="11"/>
        <v>123599</v>
      </c>
      <c r="EY9" s="467">
        <f t="shared" si="11"/>
        <v>100460</v>
      </c>
      <c r="EZ9" s="467">
        <v>643602</v>
      </c>
      <c r="FB9" s="467">
        <v>535951</v>
      </c>
      <c r="FC9" s="468">
        <v>162379</v>
      </c>
      <c r="FD9" s="467">
        <v>118190</v>
      </c>
      <c r="FE9" s="467">
        <v>643602</v>
      </c>
      <c r="FG9" s="467">
        <v>262469</v>
      </c>
      <c r="FH9" s="468">
        <v>38780</v>
      </c>
      <c r="FI9" s="467">
        <v>17730</v>
      </c>
      <c r="FJ9" s="467">
        <v>645685</v>
      </c>
      <c r="FK9" s="5"/>
      <c r="FL9" s="341">
        <v>979911</v>
      </c>
      <c r="FM9" s="342">
        <v>136186</v>
      </c>
      <c r="FN9" s="341">
        <v>46152</v>
      </c>
      <c r="FO9" s="341">
        <v>648705</v>
      </c>
      <c r="FQ9" s="341">
        <v>247939</v>
      </c>
      <c r="FR9" s="342">
        <v>8695</v>
      </c>
      <c r="FS9" s="341">
        <v>-13448</v>
      </c>
      <c r="FT9" s="341">
        <v>648705</v>
      </c>
      <c r="FV9" s="341">
        <v>731972</v>
      </c>
      <c r="FW9" s="342">
        <v>127491</v>
      </c>
      <c r="FX9" s="341">
        <v>59600</v>
      </c>
      <c r="FY9" s="341">
        <v>570462</v>
      </c>
      <c r="GA9" s="341">
        <v>249043</v>
      </c>
      <c r="GB9" s="342">
        <v>43029</v>
      </c>
      <c r="GC9" s="341">
        <v>20235</v>
      </c>
      <c r="GD9" s="341">
        <v>570462</v>
      </c>
      <c r="GG9" s="341">
        <v>482929</v>
      </c>
      <c r="GH9" s="342">
        <v>84462</v>
      </c>
      <c r="GI9" s="341">
        <v>39365</v>
      </c>
      <c r="GJ9" s="341">
        <v>583361</v>
      </c>
      <c r="GL9" s="341">
        <v>234413</v>
      </c>
      <c r="GM9" s="342">
        <v>40018</v>
      </c>
      <c r="GN9" s="341">
        <v>17339</v>
      </c>
      <c r="GO9" s="341">
        <v>583361</v>
      </c>
      <c r="GQ9" s="341">
        <v>248516</v>
      </c>
      <c r="GR9" s="342">
        <v>44444</v>
      </c>
      <c r="GS9" s="341">
        <v>22026</v>
      </c>
      <c r="GT9" s="341">
        <v>599593</v>
      </c>
      <c r="GV9" s="341">
        <v>857462</v>
      </c>
      <c r="GW9" s="341">
        <v>134793</v>
      </c>
      <c r="GX9" s="341">
        <v>46023</v>
      </c>
      <c r="GY9" s="341">
        <v>581497</v>
      </c>
      <c r="HA9" s="341">
        <v>240979</v>
      </c>
      <c r="HB9" s="342">
        <v>4545</v>
      </c>
      <c r="HC9" s="341">
        <v>-16871</v>
      </c>
      <c r="HD9" s="341">
        <v>581497</v>
      </c>
      <c r="HF9" s="341">
        <v>616483</v>
      </c>
      <c r="HG9" s="342">
        <v>130248</v>
      </c>
      <c r="HH9" s="341">
        <v>62894</v>
      </c>
      <c r="HI9" s="341">
        <v>501583</v>
      </c>
      <c r="HK9" s="341">
        <v>201877</v>
      </c>
      <c r="HL9" s="342">
        <v>41536</v>
      </c>
      <c r="HM9" s="341">
        <v>18622</v>
      </c>
      <c r="HN9" s="341">
        <v>501583</v>
      </c>
      <c r="HP9" s="166">
        <v>414606</v>
      </c>
      <c r="HQ9" s="319">
        <v>88712</v>
      </c>
      <c r="HR9" s="166">
        <v>44272</v>
      </c>
      <c r="HS9" s="166">
        <v>511896</v>
      </c>
      <c r="HU9" s="166">
        <v>219053</v>
      </c>
      <c r="HV9" s="319">
        <v>49009</v>
      </c>
      <c r="HW9" s="166">
        <v>25412</v>
      </c>
      <c r="HX9" s="166">
        <v>511896</v>
      </c>
      <c r="HZ9" s="156">
        <v>195553</v>
      </c>
      <c r="IA9" s="183">
        <v>39703</v>
      </c>
      <c r="IB9" s="156">
        <v>18860</v>
      </c>
      <c r="IC9" s="156">
        <v>507173</v>
      </c>
      <c r="IE9" s="156">
        <v>804560</v>
      </c>
      <c r="IF9" s="156">
        <v>118043</v>
      </c>
      <c r="IG9" s="156">
        <v>35902</v>
      </c>
      <c r="IH9" s="156">
        <v>508825</v>
      </c>
      <c r="IJ9" s="156">
        <v>206198</v>
      </c>
      <c r="IK9" s="183">
        <v>3431</v>
      </c>
      <c r="IL9" s="156">
        <v>-19915</v>
      </c>
      <c r="IM9" s="156">
        <v>508825</v>
      </c>
      <c r="IN9" s="157"/>
      <c r="IO9" s="156">
        <v>598362</v>
      </c>
      <c r="IP9" s="156">
        <v>114612</v>
      </c>
      <c r="IQ9" s="156">
        <v>55817</v>
      </c>
      <c r="IR9" s="156">
        <v>455307</v>
      </c>
      <c r="IS9" s="156"/>
      <c r="IT9" s="156">
        <v>205774</v>
      </c>
      <c r="IU9" s="156">
        <v>37977</v>
      </c>
      <c r="IV9" s="156">
        <v>17870</v>
      </c>
      <c r="IW9" s="156">
        <v>455307</v>
      </c>
      <c r="IX9" s="157"/>
      <c r="IY9" s="156">
        <v>392588</v>
      </c>
      <c r="IZ9" s="156">
        <v>76635</v>
      </c>
      <c r="JA9" s="156">
        <v>37947</v>
      </c>
      <c r="JB9" s="156">
        <v>445341</v>
      </c>
      <c r="JC9" s="157"/>
      <c r="JD9" s="156">
        <f t="shared" si="12"/>
        <v>197807</v>
      </c>
      <c r="JE9" s="156">
        <f t="shared" si="12"/>
        <v>40909</v>
      </c>
      <c r="JF9" s="156">
        <f t="shared" si="12"/>
        <v>21212</v>
      </c>
      <c r="JG9" s="156">
        <f>JL9</f>
        <v>461173</v>
      </c>
      <c r="JH9" s="157"/>
      <c r="JI9" s="156">
        <v>194781</v>
      </c>
      <c r="JJ9" s="156">
        <v>35726</v>
      </c>
      <c r="JK9" s="156">
        <v>16735</v>
      </c>
      <c r="JL9" s="156">
        <v>461173</v>
      </c>
      <c r="JM9" s="157"/>
      <c r="JN9" s="156">
        <v>827928</v>
      </c>
      <c r="JO9" s="156">
        <v>114570</v>
      </c>
      <c r="JP9" s="156">
        <v>42642</v>
      </c>
      <c r="JQ9" s="156">
        <v>468202</v>
      </c>
      <c r="JR9" s="157"/>
      <c r="JS9" s="156">
        <v>211032</v>
      </c>
      <c r="JT9" s="156">
        <v>12302</v>
      </c>
      <c r="JU9" s="156">
        <v>-5504</v>
      </c>
      <c r="JV9" s="156">
        <v>468202</v>
      </c>
      <c r="JW9" s="157"/>
      <c r="JX9" s="156">
        <v>616896</v>
      </c>
      <c r="JY9" s="156">
        <v>102268</v>
      </c>
      <c r="JZ9" s="156">
        <v>48146</v>
      </c>
      <c r="KA9" s="156">
        <v>433699</v>
      </c>
      <c r="KB9" s="157"/>
      <c r="KC9" s="156">
        <v>188053</v>
      </c>
      <c r="KD9" s="156">
        <v>36232</v>
      </c>
      <c r="KE9" s="156">
        <v>18324</v>
      </c>
      <c r="KF9" s="156">
        <v>433699</v>
      </c>
      <c r="KG9" s="157"/>
      <c r="KH9" s="156">
        <v>428843</v>
      </c>
      <c r="KI9" s="156">
        <v>66036</v>
      </c>
      <c r="KJ9" s="156">
        <v>29822</v>
      </c>
      <c r="KK9" s="156">
        <v>443449</v>
      </c>
      <c r="KL9" s="157"/>
      <c r="KM9" s="156">
        <v>211401</v>
      </c>
      <c r="KN9" s="156">
        <v>35550</v>
      </c>
      <c r="KO9" s="156">
        <v>17383</v>
      </c>
      <c r="KP9" s="156">
        <v>443449</v>
      </c>
      <c r="KQ9" s="157"/>
      <c r="KR9" s="156">
        <v>217442</v>
      </c>
      <c r="KS9" s="156">
        <v>30486</v>
      </c>
      <c r="KT9" s="156">
        <v>12439</v>
      </c>
      <c r="KU9" s="156">
        <v>460262</v>
      </c>
      <c r="KV9" s="157"/>
      <c r="KW9" s="156">
        <v>927953</v>
      </c>
      <c r="KX9" s="156">
        <v>100320</v>
      </c>
      <c r="KY9" s="156">
        <v>32596</v>
      </c>
      <c r="KZ9" s="156">
        <v>478618</v>
      </c>
      <c r="LA9" s="163"/>
      <c r="LB9" s="156">
        <v>225159</v>
      </c>
      <c r="LC9" s="156">
        <v>2137</v>
      </c>
      <c r="LD9" s="156">
        <v>-15376</v>
      </c>
      <c r="LE9" s="156">
        <v>478618</v>
      </c>
      <c r="LF9" s="163"/>
      <c r="LG9" s="156">
        <v>702794</v>
      </c>
      <c r="LH9" s="156">
        <v>98183</v>
      </c>
      <c r="LI9" s="156">
        <v>47972</v>
      </c>
      <c r="LJ9" s="156">
        <v>438649</v>
      </c>
      <c r="LK9" s="157"/>
      <c r="LL9" s="156">
        <v>199648</v>
      </c>
      <c r="LM9" s="156">
        <v>37188</v>
      </c>
      <c r="LN9" s="156">
        <v>20076</v>
      </c>
      <c r="LO9" s="156">
        <v>438649</v>
      </c>
      <c r="LP9" s="157"/>
      <c r="LQ9" s="156">
        <v>503146</v>
      </c>
      <c r="LR9" s="156">
        <v>60856</v>
      </c>
      <c r="LS9" s="156">
        <v>27896</v>
      </c>
      <c r="LT9" s="156">
        <v>448459</v>
      </c>
      <c r="LU9" s="157"/>
      <c r="LV9" s="156">
        <v>239006</v>
      </c>
      <c r="LW9" s="156">
        <v>17517</v>
      </c>
      <c r="LX9" s="156">
        <v>789</v>
      </c>
      <c r="LY9" s="156">
        <v>448459</v>
      </c>
      <c r="LZ9" s="157"/>
      <c r="MA9" s="156">
        <v>264140</v>
      </c>
      <c r="MB9" s="156">
        <v>43339</v>
      </c>
      <c r="MC9" s="156">
        <v>27107</v>
      </c>
      <c r="MD9" s="156">
        <v>484742</v>
      </c>
      <c r="ME9" s="157"/>
      <c r="MF9" s="163" t="s">
        <v>85</v>
      </c>
      <c r="MG9" s="156">
        <v>6074646</v>
      </c>
      <c r="MH9" s="156">
        <v>2157136</v>
      </c>
      <c r="MI9" s="156">
        <v>1209344</v>
      </c>
      <c r="MJ9" s="156">
        <v>15012125</v>
      </c>
      <c r="MK9" s="157"/>
      <c r="ML9" s="156">
        <v>4528811</v>
      </c>
      <c r="MM9" s="156">
        <v>1777840</v>
      </c>
      <c r="MN9" s="156">
        <v>1070837</v>
      </c>
      <c r="MO9" s="156">
        <v>14581007</v>
      </c>
      <c r="MP9" s="157"/>
      <c r="MQ9" s="156">
        <v>3048951</v>
      </c>
      <c r="MR9" s="156">
        <v>1169688</v>
      </c>
      <c r="MS9" s="156">
        <v>700012</v>
      </c>
      <c r="MT9" s="156">
        <v>14377042</v>
      </c>
      <c r="MU9" s="157"/>
      <c r="MV9" s="157"/>
      <c r="MW9" s="157"/>
      <c r="MX9" s="157"/>
      <c r="MY9" s="157"/>
      <c r="MZ9" s="157"/>
      <c r="NA9" s="157"/>
      <c r="NB9" s="157"/>
      <c r="NC9" s="157"/>
      <c r="ND9" s="157"/>
      <c r="NE9" s="157"/>
      <c r="NF9" s="157"/>
      <c r="NG9" s="157"/>
      <c r="NH9" s="157"/>
      <c r="NI9" s="157"/>
      <c r="NJ9" s="157"/>
      <c r="NK9" s="157"/>
      <c r="NL9" s="157"/>
      <c r="NM9" s="157"/>
      <c r="NN9" s="157"/>
      <c r="NO9" s="157"/>
      <c r="NP9" s="157"/>
      <c r="NQ9" s="157"/>
      <c r="NR9" s="157"/>
      <c r="NS9" s="157"/>
      <c r="NT9" s="157"/>
      <c r="NU9" s="157"/>
      <c r="NV9" s="157"/>
      <c r="NW9" s="157"/>
      <c r="NX9" s="157"/>
      <c r="NY9" s="157"/>
      <c r="NZ9" s="157"/>
      <c r="OA9" s="157"/>
      <c r="OB9" s="157"/>
      <c r="OC9" s="157"/>
      <c r="OD9" s="157"/>
      <c r="OE9" s="157"/>
      <c r="OF9" s="157"/>
      <c r="OG9" s="157"/>
      <c r="OH9" s="157"/>
      <c r="OI9" s="157"/>
      <c r="OJ9" s="157"/>
      <c r="OK9" s="157"/>
      <c r="OL9" s="157"/>
    </row>
    <row r="10" spans="1:402">
      <c r="A10" s="59" t="s">
        <v>590</v>
      </c>
      <c r="C10" s="610"/>
      <c r="D10" s="610"/>
      <c r="E10" s="610"/>
      <c r="F10" s="610"/>
      <c r="H10" s="610"/>
      <c r="I10" s="610"/>
      <c r="J10" s="610"/>
      <c r="K10" s="610"/>
      <c r="M10" s="610"/>
      <c r="N10" s="610"/>
      <c r="O10" s="610"/>
      <c r="P10" s="610"/>
      <c r="R10" s="610"/>
      <c r="S10" s="610"/>
      <c r="T10" s="610"/>
      <c r="U10" s="610"/>
      <c r="W10" s="610"/>
      <c r="X10" s="610"/>
      <c r="Y10" s="610"/>
      <c r="Z10" s="610"/>
      <c r="AB10" s="610"/>
      <c r="AC10" s="610"/>
      <c r="AD10" s="610"/>
      <c r="AE10" s="610"/>
      <c r="AG10" s="610"/>
      <c r="AH10" s="610"/>
      <c r="AI10" s="610"/>
      <c r="AJ10" s="610"/>
      <c r="AL10" s="610"/>
      <c r="AM10" s="610"/>
      <c r="AN10" s="610"/>
      <c r="AO10" s="610"/>
      <c r="AQ10" s="610"/>
      <c r="AR10" s="610"/>
      <c r="AS10" s="610"/>
      <c r="AT10" s="610"/>
      <c r="AV10" s="610"/>
      <c r="AW10" s="610"/>
      <c r="AX10" s="610"/>
      <c r="AY10" s="610"/>
      <c r="BA10" s="610"/>
      <c r="BB10" s="610"/>
      <c r="BC10" s="610"/>
      <c r="BD10" s="610"/>
      <c r="BF10" s="610"/>
      <c r="BG10" s="610"/>
      <c r="BH10" s="610"/>
      <c r="BI10" s="610"/>
      <c r="BK10" s="610">
        <f>BP10-BZ3</f>
        <v>-609000</v>
      </c>
      <c r="BL10" s="610">
        <f>BQ10-CA3</f>
        <v>530000</v>
      </c>
      <c r="BM10" s="610">
        <f>BR10-CB3</f>
        <v>-7000</v>
      </c>
      <c r="BN10" s="610">
        <f t="shared" si="20"/>
        <v>0</v>
      </c>
      <c r="BP10" s="610">
        <v>1030000</v>
      </c>
      <c r="BQ10" s="610">
        <v>801000</v>
      </c>
      <c r="BR10" s="610">
        <v>50000</v>
      </c>
      <c r="BS10" s="610">
        <v>0</v>
      </c>
      <c r="BU10" s="467"/>
      <c r="BV10" s="467"/>
      <c r="BW10" s="467"/>
      <c r="BX10" s="467"/>
      <c r="BZ10" s="467"/>
      <c r="CA10" s="467"/>
      <c r="CB10" s="467"/>
      <c r="CC10" s="467"/>
      <c r="CE10" s="467"/>
      <c r="CF10" s="467"/>
      <c r="CG10" s="467"/>
      <c r="CH10" s="467"/>
      <c r="CJ10" s="467"/>
      <c r="CK10" s="467"/>
      <c r="CL10" s="467"/>
      <c r="CM10" s="467"/>
      <c r="CO10" s="467"/>
      <c r="CP10" s="467"/>
      <c r="CQ10" s="467"/>
      <c r="CR10" s="467"/>
      <c r="CT10" s="467"/>
      <c r="CU10" s="467"/>
      <c r="CV10" s="467"/>
      <c r="CW10" s="467"/>
      <c r="CY10" s="467"/>
      <c r="CZ10" s="467"/>
      <c r="DA10" s="467"/>
      <c r="DB10" s="467"/>
      <c r="DD10" s="467"/>
      <c r="DE10" s="467"/>
      <c r="DF10" s="467"/>
      <c r="DG10" s="467"/>
      <c r="DI10" s="467"/>
      <c r="DJ10" s="467"/>
      <c r="DK10" s="467"/>
      <c r="DL10" s="467"/>
      <c r="DN10" s="467"/>
      <c r="DO10" s="467"/>
      <c r="DP10" s="467"/>
      <c r="DQ10" s="467"/>
      <c r="DS10" s="467"/>
      <c r="DT10" s="467"/>
      <c r="DU10" s="467"/>
      <c r="DV10" s="467"/>
      <c r="DX10" s="467"/>
      <c r="DY10" s="467"/>
      <c r="DZ10" s="467"/>
      <c r="EA10" s="467"/>
      <c r="EC10" s="467">
        <f t="shared" si="8"/>
        <v>138487</v>
      </c>
      <c r="ED10" s="467">
        <f t="shared" si="8"/>
        <v>79622</v>
      </c>
      <c r="EE10" s="467">
        <f t="shared" si="8"/>
        <v>76002</v>
      </c>
      <c r="EF10" s="467">
        <f t="shared" si="9"/>
        <v>1805956</v>
      </c>
      <c r="EH10" s="467">
        <v>482608</v>
      </c>
      <c r="EI10" s="467">
        <v>171119</v>
      </c>
      <c r="EJ10" s="467">
        <v>-717342</v>
      </c>
      <c r="EK10" s="467">
        <v>1805956</v>
      </c>
      <c r="EM10" s="467">
        <v>45360</v>
      </c>
      <c r="EN10" s="467">
        <v>-287</v>
      </c>
      <c r="EO10" s="467">
        <v>-15838</v>
      </c>
      <c r="EP10" s="467">
        <f t="shared" si="10"/>
        <v>1715232</v>
      </c>
      <c r="ER10" s="467">
        <v>344121</v>
      </c>
      <c r="ES10" s="467">
        <v>91497</v>
      </c>
      <c r="ET10" s="467">
        <v>-793344</v>
      </c>
      <c r="EU10" s="467">
        <v>1715232</v>
      </c>
      <c r="EW10" s="467">
        <f t="shared" si="11"/>
        <v>96613</v>
      </c>
      <c r="EX10" s="468">
        <f t="shared" si="11"/>
        <v>15733</v>
      </c>
      <c r="EY10" s="467">
        <f t="shared" si="11"/>
        <v>-821890</v>
      </c>
      <c r="EZ10" s="467">
        <v>1704516</v>
      </c>
      <c r="FB10" s="467">
        <v>298761</v>
      </c>
      <c r="FC10" s="468">
        <v>91784</v>
      </c>
      <c r="FD10" s="467">
        <v>-777506</v>
      </c>
      <c r="FE10" s="467">
        <v>1704516</v>
      </c>
      <c r="FG10" s="467">
        <v>202148</v>
      </c>
      <c r="FH10" s="468">
        <v>76051</v>
      </c>
      <c r="FI10" s="467">
        <v>44384</v>
      </c>
      <c r="FJ10" s="467"/>
      <c r="FK10" s="5"/>
      <c r="FL10" s="341"/>
      <c r="FM10" s="342"/>
      <c r="FN10" s="341"/>
      <c r="FO10" s="341"/>
      <c r="FQ10" s="341"/>
      <c r="FR10" s="342"/>
      <c r="FS10" s="341"/>
      <c r="FT10" s="341"/>
      <c r="FV10" s="341"/>
      <c r="FW10" s="342"/>
      <c r="FX10" s="341"/>
      <c r="FY10" s="341"/>
      <c r="GA10" s="341"/>
      <c r="GB10" s="342"/>
      <c r="GC10" s="341"/>
      <c r="GD10" s="341"/>
      <c r="GG10" s="341"/>
      <c r="GH10" s="342"/>
      <c r="GI10" s="341"/>
      <c r="GJ10" s="341"/>
      <c r="GL10" s="341"/>
      <c r="GM10" s="342"/>
      <c r="GN10" s="341"/>
      <c r="GO10" s="341"/>
      <c r="GQ10" s="341"/>
      <c r="GR10" s="342"/>
      <c r="GS10" s="341"/>
      <c r="GT10" s="341"/>
      <c r="GV10" s="341"/>
      <c r="GW10" s="341"/>
      <c r="GX10" s="341"/>
      <c r="GY10" s="341"/>
      <c r="HA10" s="341"/>
      <c r="HB10" s="342"/>
      <c r="HC10" s="341"/>
      <c r="HD10" s="341"/>
      <c r="HF10" s="341"/>
      <c r="HG10" s="342"/>
      <c r="HH10" s="341"/>
      <c r="HI10" s="341"/>
      <c r="HK10" s="341"/>
      <c r="HL10" s="342"/>
      <c r="HM10" s="341"/>
      <c r="HN10" s="341"/>
      <c r="HP10" s="166"/>
      <c r="HQ10" s="319"/>
      <c r="HR10" s="166"/>
      <c r="HS10" s="166"/>
      <c r="HU10" s="166"/>
      <c r="HV10" s="319"/>
      <c r="HW10" s="166"/>
      <c r="HX10" s="166"/>
      <c r="HZ10" s="156"/>
      <c r="IA10" s="183"/>
      <c r="IB10" s="156"/>
      <c r="IC10" s="156"/>
      <c r="IE10" s="156"/>
      <c r="IF10" s="156"/>
      <c r="IG10" s="156"/>
      <c r="IH10" s="156"/>
      <c r="IJ10" s="156"/>
      <c r="IK10" s="183"/>
      <c r="IL10" s="156"/>
      <c r="IM10" s="156"/>
      <c r="IN10" s="157"/>
      <c r="IO10" s="156"/>
      <c r="IP10" s="156"/>
      <c r="IQ10" s="156"/>
      <c r="IR10" s="156"/>
      <c r="IS10" s="156"/>
      <c r="IT10" s="156"/>
      <c r="IU10" s="156"/>
      <c r="IV10" s="156"/>
      <c r="IW10" s="156"/>
      <c r="IX10" s="157"/>
      <c r="IY10" s="156"/>
      <c r="IZ10" s="156"/>
      <c r="JA10" s="156"/>
      <c r="JB10" s="156"/>
      <c r="JC10" s="157"/>
      <c r="JD10" s="156"/>
      <c r="JE10" s="156"/>
      <c r="JF10" s="156"/>
      <c r="JG10" s="156"/>
      <c r="JH10" s="157"/>
      <c r="JI10" s="156"/>
      <c r="JJ10" s="156"/>
      <c r="JK10" s="156"/>
      <c r="JL10" s="156"/>
      <c r="JM10" s="157"/>
      <c r="JN10" s="156"/>
      <c r="JO10" s="156"/>
      <c r="JP10" s="156"/>
      <c r="JQ10" s="156"/>
      <c r="JR10" s="157"/>
      <c r="JS10" s="156"/>
      <c r="JT10" s="156"/>
      <c r="JU10" s="156"/>
      <c r="JV10" s="156"/>
      <c r="JW10" s="157"/>
      <c r="JX10" s="156"/>
      <c r="JY10" s="156"/>
      <c r="JZ10" s="156"/>
      <c r="KA10" s="156"/>
      <c r="KB10" s="157"/>
      <c r="KC10" s="156"/>
      <c r="KD10" s="156"/>
      <c r="KE10" s="156"/>
      <c r="KF10" s="156"/>
      <c r="KG10" s="157"/>
      <c r="KH10" s="156"/>
      <c r="KI10" s="156"/>
      <c r="KJ10" s="156"/>
      <c r="KK10" s="156"/>
      <c r="KL10" s="157"/>
      <c r="KM10" s="156"/>
      <c r="KN10" s="156"/>
      <c r="KO10" s="156"/>
      <c r="KP10" s="156"/>
      <c r="KQ10" s="157"/>
      <c r="KR10" s="156"/>
      <c r="KS10" s="156"/>
      <c r="KT10" s="156"/>
      <c r="KU10" s="156"/>
      <c r="KV10" s="157"/>
      <c r="KW10" s="156"/>
      <c r="KX10" s="156"/>
      <c r="KY10" s="156"/>
      <c r="KZ10" s="156"/>
      <c r="LA10" s="163"/>
      <c r="LB10" s="156"/>
      <c r="LC10" s="156"/>
      <c r="LD10" s="156"/>
      <c r="LE10" s="156"/>
      <c r="LF10" s="163"/>
      <c r="LG10" s="156"/>
      <c r="LH10" s="156"/>
      <c r="LI10" s="156"/>
      <c r="LJ10" s="156"/>
      <c r="LK10" s="157"/>
      <c r="LL10" s="156"/>
      <c r="LM10" s="156"/>
      <c r="LN10" s="156"/>
      <c r="LO10" s="156"/>
      <c r="LP10" s="157"/>
      <c r="LQ10" s="156"/>
      <c r="LR10" s="156"/>
      <c r="LS10" s="156"/>
      <c r="LT10" s="156"/>
      <c r="LU10" s="157"/>
      <c r="LV10" s="156"/>
      <c r="LW10" s="156"/>
      <c r="LX10" s="156"/>
      <c r="LY10" s="156"/>
      <c r="LZ10" s="157"/>
      <c r="MA10" s="156"/>
      <c r="MB10" s="156"/>
      <c r="MC10" s="156"/>
      <c r="MD10" s="156"/>
      <c r="ME10" s="157"/>
      <c r="MF10" s="163"/>
      <c r="MG10" s="156"/>
      <c r="MH10" s="156"/>
      <c r="MI10" s="156"/>
      <c r="MJ10" s="156"/>
      <c r="MK10" s="157"/>
      <c r="ML10" s="156"/>
      <c r="MM10" s="156"/>
      <c r="MN10" s="156"/>
      <c r="MO10" s="156"/>
      <c r="MP10" s="157"/>
      <c r="MQ10" s="156"/>
      <c r="MR10" s="156"/>
      <c r="MS10" s="156"/>
      <c r="MT10" s="156"/>
      <c r="MU10" s="157"/>
      <c r="MV10" s="157"/>
      <c r="MW10" s="157"/>
      <c r="MX10" s="157"/>
      <c r="MY10" s="157"/>
      <c r="MZ10" s="157"/>
      <c r="NA10" s="157"/>
      <c r="NB10" s="157"/>
      <c r="NC10" s="157"/>
      <c r="ND10" s="157"/>
      <c r="NE10" s="157"/>
      <c r="NF10" s="157"/>
      <c r="NG10" s="157"/>
      <c r="NH10" s="157"/>
      <c r="NI10" s="157"/>
      <c r="NJ10" s="157"/>
      <c r="NK10" s="157"/>
      <c r="NL10" s="157"/>
      <c r="NM10" s="157"/>
      <c r="NN10" s="157"/>
      <c r="NO10" s="157"/>
      <c r="NP10" s="157"/>
      <c r="NQ10" s="157"/>
      <c r="NR10" s="157"/>
      <c r="NS10" s="157"/>
      <c r="NT10" s="157"/>
      <c r="NU10" s="157"/>
      <c r="NV10" s="157"/>
      <c r="NW10" s="157"/>
      <c r="NX10" s="157"/>
      <c r="NY10" s="157"/>
      <c r="NZ10" s="157"/>
      <c r="OA10" s="157"/>
      <c r="OB10" s="157"/>
      <c r="OC10" s="157"/>
      <c r="OD10" s="157"/>
      <c r="OE10" s="157"/>
      <c r="OF10" s="157"/>
      <c r="OG10" s="157"/>
      <c r="OH10" s="157"/>
      <c r="OI10" s="157"/>
      <c r="OJ10" s="157"/>
      <c r="OK10" s="157"/>
      <c r="OL10" s="157"/>
    </row>
    <row r="11" spans="1:402">
      <c r="A11" s="307" t="s">
        <v>925</v>
      </c>
      <c r="C11" s="611">
        <f>([3]segmenty!$H$9)*1000</f>
        <v>-13893000</v>
      </c>
      <c r="D11" s="611">
        <f>([3]segmenty!$H$34)*1000</f>
        <v>-134000</v>
      </c>
      <c r="E11" s="611">
        <f>([3]segmenty!$H$31)*1000</f>
        <v>-126000</v>
      </c>
      <c r="F11" s="611">
        <f>([3]segmenty!$H$25)*1000</f>
        <v>1436000</v>
      </c>
      <c r="H11" s="611">
        <f>('[3]segmenty 3 m-ce'!$H$69)*1000</f>
        <v>-6153000</v>
      </c>
      <c r="I11" s="611">
        <f>('[3]segmenty 3 m-ce'!$H$84)*1000</f>
        <v>-43000</v>
      </c>
      <c r="J11" s="611">
        <f>('[3]segmenty 3 m-ce'!$H$81)*1000</f>
        <v>-38000</v>
      </c>
      <c r="K11" s="611">
        <f t="shared" ref="K11" si="21">F11</f>
        <v>1436000</v>
      </c>
      <c r="M11" s="611">
        <f>'[9]segmenty prez'!$H$9*1000</f>
        <v>-7740000</v>
      </c>
      <c r="N11" s="611">
        <f>'[9]segmenty prez'!$H$16*1000</f>
        <v>-91000</v>
      </c>
      <c r="O11" s="611">
        <f>'[9]segmenty prez'!$H$12*1000</f>
        <v>-88000</v>
      </c>
      <c r="P11" s="611">
        <f>[9]segmenty!$H$25*1000</f>
        <v>1333000</v>
      </c>
      <c r="R11" s="611">
        <f>'[9]segmenty 3 m-ce PREZ'!$H$9*1000</f>
        <v>-3343000</v>
      </c>
      <c r="S11" s="611">
        <f>'[9]segmenty 3 m-ce PREZ'!$H$16*1000</f>
        <v>-44000</v>
      </c>
      <c r="T11" s="611">
        <f>'[9]segmenty 3 m-ce PREZ'!$H$12*1000</f>
        <v>-42000</v>
      </c>
      <c r="U11" s="611">
        <f>P11</f>
        <v>1333000</v>
      </c>
      <c r="W11" s="611">
        <f>'[4]segmenty prez'!$G$9*1000</f>
        <v>-4371000</v>
      </c>
      <c r="X11" s="611">
        <f>'[4]segmenty prez'!$G$16*1000</f>
        <v>-47000</v>
      </c>
      <c r="Y11" s="611">
        <f>'[4]segmenty prez'!$G$12*1000</f>
        <v>-46000</v>
      </c>
      <c r="Z11" s="611">
        <f>'[4]segmenty prez'!$G$27*1000</f>
        <v>1856000</v>
      </c>
      <c r="AB11" s="611"/>
      <c r="AC11" s="611"/>
      <c r="AD11" s="611"/>
      <c r="AE11" s="611"/>
      <c r="AG11" s="611"/>
      <c r="AH11" s="611"/>
      <c r="AI11" s="611"/>
      <c r="AJ11" s="611"/>
      <c r="AL11" s="611"/>
      <c r="AM11" s="611"/>
      <c r="AN11" s="611"/>
      <c r="AO11" s="611"/>
      <c r="AQ11" s="611"/>
      <c r="AR11" s="611"/>
      <c r="AS11" s="611"/>
      <c r="AT11" s="611"/>
      <c r="AV11" s="611"/>
      <c r="AW11" s="611"/>
      <c r="AX11" s="611"/>
      <c r="AY11" s="611"/>
      <c r="BA11" s="611"/>
      <c r="BB11" s="611"/>
      <c r="BC11" s="611"/>
      <c r="BD11" s="611"/>
      <c r="BF11" s="611"/>
      <c r="BG11" s="611"/>
      <c r="BH11" s="611"/>
      <c r="BI11" s="611"/>
      <c r="BK11" s="611"/>
      <c r="BL11" s="611"/>
      <c r="BM11" s="611"/>
      <c r="BN11" s="611"/>
      <c r="BP11" s="611"/>
      <c r="BQ11" s="611"/>
      <c r="BR11" s="611"/>
      <c r="BS11" s="611"/>
      <c r="BU11" s="469"/>
      <c r="BV11" s="469"/>
      <c r="BW11" s="469"/>
      <c r="BX11" s="469"/>
      <c r="BZ11" s="469"/>
      <c r="CA11" s="469"/>
      <c r="CB11" s="469"/>
      <c r="CC11" s="469"/>
      <c r="CE11" s="469"/>
      <c r="CF11" s="469"/>
      <c r="CG11" s="469"/>
      <c r="CH11" s="469"/>
      <c r="CJ11" s="469"/>
      <c r="CK11" s="469"/>
      <c r="CL11" s="469"/>
      <c r="CM11" s="469"/>
      <c r="CO11" s="469"/>
      <c r="CP11" s="469"/>
      <c r="CQ11" s="469"/>
      <c r="CR11" s="469"/>
      <c r="CT11" s="469"/>
      <c r="CU11" s="469"/>
      <c r="CV11" s="469"/>
      <c r="CW11" s="469"/>
      <c r="CY11" s="469"/>
      <c r="CZ11" s="469"/>
      <c r="DA11" s="469"/>
      <c r="DB11" s="469"/>
      <c r="DD11" s="469"/>
      <c r="DE11" s="469"/>
      <c r="DF11" s="469"/>
      <c r="DG11" s="469"/>
      <c r="DI11" s="469"/>
      <c r="DJ11" s="469"/>
      <c r="DK11" s="469"/>
      <c r="DL11" s="469"/>
      <c r="DN11" s="469"/>
      <c r="DO11" s="469"/>
      <c r="DP11" s="469"/>
      <c r="DQ11" s="469"/>
      <c r="DS11" s="469"/>
      <c r="DT11" s="469"/>
      <c r="DU11" s="469"/>
      <c r="DV11" s="469"/>
      <c r="DX11" s="469"/>
      <c r="DY11" s="469"/>
      <c r="DZ11" s="469"/>
      <c r="EA11" s="469"/>
      <c r="EC11" s="469"/>
      <c r="ED11" s="469"/>
      <c r="EE11" s="469"/>
      <c r="EF11" s="469"/>
      <c r="EH11" s="469"/>
      <c r="EI11" s="469"/>
      <c r="EJ11" s="469"/>
      <c r="EK11" s="469"/>
      <c r="EM11" s="469"/>
      <c r="EN11" s="469"/>
      <c r="EO11" s="469"/>
      <c r="EP11" s="469"/>
      <c r="ER11" s="469"/>
      <c r="ES11" s="469"/>
      <c r="ET11" s="469"/>
      <c r="EU11" s="469"/>
      <c r="EW11" s="469"/>
      <c r="EX11" s="470"/>
      <c r="EY11" s="469"/>
      <c r="EZ11" s="469"/>
      <c r="FB11" s="469"/>
      <c r="FC11" s="470"/>
      <c r="FD11" s="469"/>
      <c r="FE11" s="469"/>
      <c r="FG11" s="469"/>
      <c r="FH11" s="470"/>
      <c r="FI11" s="469"/>
      <c r="FJ11" s="469"/>
      <c r="FK11" s="5"/>
      <c r="FL11" s="343"/>
      <c r="FM11" s="344"/>
      <c r="FN11" s="343"/>
      <c r="FO11" s="343"/>
      <c r="FQ11" s="343"/>
      <c r="FR11" s="344"/>
      <c r="FS11" s="343"/>
      <c r="FT11" s="343"/>
      <c r="FV11" s="343"/>
      <c r="FW11" s="344"/>
      <c r="FX11" s="343"/>
      <c r="FY11" s="343"/>
      <c r="GA11" s="343"/>
      <c r="GB11" s="344"/>
      <c r="GC11" s="343"/>
      <c r="GD11" s="343"/>
      <c r="GG11" s="343"/>
      <c r="GH11" s="344"/>
      <c r="GI11" s="343"/>
      <c r="GJ11" s="343"/>
      <c r="GL11" s="343"/>
      <c r="GM11" s="344"/>
      <c r="GN11" s="343"/>
      <c r="GO11" s="343"/>
      <c r="GQ11" s="343"/>
      <c r="GR11" s="344"/>
      <c r="GS11" s="343"/>
      <c r="GT11" s="343"/>
      <c r="GV11" s="343"/>
      <c r="GW11" s="343"/>
      <c r="GX11" s="343"/>
      <c r="GY11" s="343"/>
      <c r="HA11" s="343"/>
      <c r="HB11" s="344"/>
      <c r="HC11" s="343"/>
      <c r="HD11" s="343"/>
      <c r="HF11" s="343"/>
      <c r="HG11" s="344"/>
      <c r="HH11" s="343"/>
      <c r="HI11" s="343"/>
      <c r="HK11" s="343"/>
      <c r="HL11" s="344"/>
      <c r="HM11" s="343"/>
      <c r="HN11" s="343"/>
      <c r="HP11" s="320"/>
      <c r="HQ11" s="321"/>
      <c r="HR11" s="320"/>
      <c r="HS11" s="320"/>
      <c r="HU11" s="320"/>
      <c r="HV11" s="321"/>
      <c r="HW11" s="320"/>
      <c r="HX11" s="320"/>
      <c r="HZ11" s="181"/>
      <c r="IA11" s="184"/>
      <c r="IB11" s="181"/>
      <c r="IC11" s="181"/>
      <c r="IE11" s="181"/>
      <c r="IF11" s="181"/>
      <c r="IG11" s="181"/>
      <c r="IH11" s="181"/>
      <c r="IJ11" s="181"/>
      <c r="IK11" s="184"/>
      <c r="IL11" s="181"/>
      <c r="IM11" s="181"/>
      <c r="IN11" s="157"/>
      <c r="IO11" s="181"/>
      <c r="IP11" s="181"/>
      <c r="IQ11" s="181"/>
      <c r="IR11" s="181"/>
      <c r="IS11" s="181"/>
      <c r="IT11" s="181"/>
      <c r="IU11" s="181"/>
      <c r="IV11" s="181"/>
      <c r="IW11" s="181"/>
      <c r="IX11" s="157"/>
      <c r="IY11" s="181"/>
      <c r="IZ11" s="181"/>
      <c r="JA11" s="181"/>
      <c r="JB11" s="181"/>
      <c r="JC11" s="157"/>
      <c r="JD11" s="181"/>
      <c r="JE11" s="181"/>
      <c r="JF11" s="181"/>
      <c r="JG11" s="181"/>
      <c r="JH11" s="157"/>
      <c r="JI11" s="181"/>
      <c r="JJ11" s="181"/>
      <c r="JK11" s="181"/>
      <c r="JL11" s="181"/>
      <c r="JM11" s="157"/>
      <c r="JN11" s="181"/>
      <c r="JO11" s="181"/>
      <c r="JP11" s="181"/>
      <c r="JQ11" s="181"/>
      <c r="JR11" s="157"/>
      <c r="JS11" s="181"/>
      <c r="JT11" s="181"/>
      <c r="JU11" s="181"/>
      <c r="JV11" s="181"/>
      <c r="JW11" s="157"/>
      <c r="JX11" s="181"/>
      <c r="JY11" s="181"/>
      <c r="JZ11" s="181"/>
      <c r="KA11" s="181"/>
      <c r="KB11" s="157"/>
      <c r="KC11" s="181"/>
      <c r="KD11" s="181"/>
      <c r="KE11" s="181"/>
      <c r="KF11" s="181"/>
      <c r="KG11" s="157"/>
      <c r="KH11" s="181"/>
      <c r="KI11" s="181"/>
      <c r="KJ11" s="181"/>
      <c r="KK11" s="181"/>
      <c r="KL11" s="157"/>
      <c r="KM11" s="181"/>
      <c r="KN11" s="181"/>
      <c r="KO11" s="181"/>
      <c r="KP11" s="181"/>
      <c r="KQ11" s="157"/>
      <c r="KR11" s="181"/>
      <c r="KS11" s="181"/>
      <c r="KT11" s="181"/>
      <c r="KU11" s="181"/>
      <c r="KV11" s="157"/>
      <c r="KW11" s="181"/>
      <c r="KX11" s="181"/>
      <c r="KY11" s="181"/>
      <c r="KZ11" s="181"/>
      <c r="LA11" s="163"/>
      <c r="LB11" s="181"/>
      <c r="LC11" s="181"/>
      <c r="LD11" s="181"/>
      <c r="LE11" s="181"/>
      <c r="LF11" s="163"/>
      <c r="LG11" s="181"/>
      <c r="LH11" s="181"/>
      <c r="LI11" s="181"/>
      <c r="LJ11" s="181"/>
      <c r="LK11" s="157"/>
      <c r="LL11" s="181"/>
      <c r="LM11" s="181"/>
      <c r="LN11" s="181"/>
      <c r="LO11" s="181"/>
      <c r="LP11" s="157"/>
      <c r="LQ11" s="181"/>
      <c r="LR11" s="181"/>
      <c r="LS11" s="181"/>
      <c r="LT11" s="181"/>
      <c r="LU11" s="157"/>
      <c r="LV11" s="181"/>
      <c r="LW11" s="181"/>
      <c r="LX11" s="181"/>
      <c r="LY11" s="181"/>
      <c r="LZ11" s="157"/>
      <c r="MA11" s="181"/>
      <c r="MB11" s="181"/>
      <c r="MC11" s="181"/>
      <c r="MD11" s="181"/>
      <c r="ME11" s="157"/>
      <c r="MF11" s="163"/>
      <c r="MG11" s="156"/>
      <c r="MH11" s="156"/>
      <c r="MI11" s="156"/>
      <c r="MJ11" s="180"/>
      <c r="MK11" s="157"/>
      <c r="ML11" s="156"/>
      <c r="MM11" s="156"/>
      <c r="MN11" s="156"/>
      <c r="MO11" s="180"/>
      <c r="MP11" s="157"/>
      <c r="MQ11" s="156"/>
      <c r="MR11" s="156"/>
      <c r="MS11" s="156"/>
      <c r="MT11" s="180"/>
      <c r="MU11" s="157"/>
      <c r="MV11" s="157"/>
      <c r="MW11" s="157"/>
      <c r="MX11" s="157"/>
      <c r="MY11" s="157"/>
      <c r="MZ11" s="157"/>
      <c r="NA11" s="157"/>
      <c r="NB11" s="157"/>
      <c r="NC11" s="157"/>
      <c r="ND11" s="157"/>
      <c r="NE11" s="157"/>
      <c r="NF11" s="157"/>
      <c r="NG11" s="157"/>
      <c r="NH11" s="157"/>
      <c r="NI11" s="157"/>
      <c r="NJ11" s="157"/>
      <c r="NK11" s="157"/>
      <c r="NL11" s="157"/>
      <c r="NM11" s="157"/>
      <c r="NN11" s="157"/>
      <c r="NO11" s="157"/>
      <c r="NP11" s="157"/>
      <c r="NQ11" s="157"/>
      <c r="NR11" s="157"/>
      <c r="NS11" s="157"/>
      <c r="NT11" s="157"/>
      <c r="NU11" s="157"/>
      <c r="NV11" s="157"/>
      <c r="NW11" s="157"/>
      <c r="NX11" s="157"/>
      <c r="NY11" s="157"/>
      <c r="NZ11" s="157"/>
      <c r="OA11" s="157"/>
      <c r="OB11" s="157"/>
      <c r="OC11" s="157"/>
      <c r="OD11" s="157"/>
      <c r="OE11" s="157"/>
      <c r="OF11" s="157"/>
      <c r="OG11" s="157"/>
      <c r="OH11" s="157"/>
      <c r="OI11" s="157"/>
      <c r="OJ11" s="157"/>
      <c r="OK11" s="157"/>
      <c r="OL11" s="157"/>
    </row>
    <row r="12" spans="1:402">
      <c r="D12" s="146"/>
      <c r="I12" s="146"/>
      <c r="N12" s="146"/>
      <c r="S12" s="146"/>
      <c r="X12" s="146"/>
      <c r="AC12" s="146"/>
      <c r="AH12" s="146"/>
      <c r="AM12" s="146"/>
      <c r="AR12" s="146"/>
      <c r="AW12" s="146"/>
      <c r="BB12" s="146"/>
      <c r="BG12" s="146"/>
      <c r="BL12" s="146"/>
      <c r="BQ12" s="146"/>
      <c r="BV12" s="146"/>
      <c r="CA12" s="146"/>
      <c r="CF12" s="146"/>
      <c r="CK12" s="146"/>
      <c r="CP12" s="146"/>
      <c r="CU12" s="146"/>
      <c r="CZ12" s="146"/>
      <c r="DE12" s="146"/>
      <c r="DJ12" s="146"/>
      <c r="DO12" s="146"/>
      <c r="DT12" s="146"/>
      <c r="DY12" s="146"/>
      <c r="ED12" s="146"/>
      <c r="EI12" s="146"/>
      <c r="EN12" s="146"/>
      <c r="ES12" s="146"/>
      <c r="EX12" s="146"/>
      <c r="FC12" s="146"/>
      <c r="FH12" s="146"/>
      <c r="FM12" s="345"/>
      <c r="FR12" s="345"/>
      <c r="FW12" s="345"/>
      <c r="GB12" s="345"/>
      <c r="GH12" s="345"/>
      <c r="GM12" s="345"/>
      <c r="GR12" s="345"/>
      <c r="GW12" s="345"/>
      <c r="HB12" s="345"/>
      <c r="HG12" s="345"/>
      <c r="HL12" s="345"/>
      <c r="HQ12" s="182"/>
      <c r="HV12" s="182"/>
      <c r="HZ12" s="157"/>
      <c r="IA12" s="182"/>
      <c r="IB12" s="157"/>
      <c r="IC12" s="157"/>
      <c r="IE12" s="157"/>
      <c r="IF12" s="157"/>
      <c r="IG12" s="157"/>
      <c r="IH12" s="157"/>
      <c r="IJ12" s="157"/>
      <c r="IK12" s="182"/>
      <c r="IL12" s="157"/>
      <c r="IM12" s="157"/>
      <c r="IN12" s="157"/>
      <c r="IO12" s="157"/>
      <c r="IP12" s="157"/>
      <c r="IQ12" s="157"/>
      <c r="IR12" s="157"/>
      <c r="IS12" s="157"/>
      <c r="IT12" s="157"/>
      <c r="IU12" s="157"/>
      <c r="IV12" s="157"/>
      <c r="IW12" s="157"/>
      <c r="IX12" s="157"/>
      <c r="IY12" s="157"/>
      <c r="IZ12" s="157"/>
      <c r="JA12" s="157"/>
      <c r="JB12" s="157"/>
      <c r="JC12" s="157"/>
      <c r="JD12" s="157"/>
      <c r="JE12" s="157"/>
      <c r="JF12" s="157"/>
      <c r="JG12" s="157"/>
      <c r="JH12" s="157"/>
      <c r="JI12" s="157"/>
      <c r="JJ12" s="157"/>
      <c r="JK12" s="157"/>
      <c r="JL12" s="157"/>
      <c r="JM12" s="157"/>
      <c r="JN12" s="157"/>
      <c r="JO12" s="157"/>
      <c r="JP12" s="157"/>
      <c r="JQ12" s="157"/>
      <c r="JR12" s="157"/>
      <c r="JS12" s="157"/>
      <c r="JT12" s="157"/>
      <c r="JU12" s="157"/>
      <c r="JV12" s="157"/>
      <c r="JW12" s="157"/>
      <c r="JX12" s="157"/>
      <c r="JY12" s="157"/>
      <c r="JZ12" s="157"/>
      <c r="KA12" s="157"/>
      <c r="KB12" s="157"/>
      <c r="KC12" s="157"/>
      <c r="KD12" s="157"/>
      <c r="KE12" s="157"/>
      <c r="KF12" s="157"/>
      <c r="KG12" s="157"/>
      <c r="KH12" s="157"/>
      <c r="KI12" s="157"/>
      <c r="KJ12" s="157"/>
      <c r="KK12" s="157"/>
      <c r="KL12" s="157"/>
      <c r="KM12" s="157"/>
      <c r="KN12" s="157"/>
      <c r="KO12" s="157"/>
      <c r="KP12" s="157"/>
      <c r="KQ12" s="157"/>
      <c r="KR12" s="157"/>
      <c r="KS12" s="157"/>
      <c r="KT12" s="157"/>
      <c r="KU12" s="157"/>
      <c r="KV12" s="157"/>
      <c r="KW12" s="157"/>
      <c r="KX12" s="157"/>
      <c r="KY12" s="157"/>
      <c r="KZ12" s="157"/>
      <c r="LA12" s="157"/>
      <c r="LB12" s="157"/>
      <c r="LC12" s="157"/>
      <c r="LD12" s="157"/>
      <c r="LE12" s="157"/>
      <c r="LF12" s="157"/>
      <c r="LG12" s="157"/>
      <c r="LH12" s="157"/>
      <c r="LI12" s="157"/>
      <c r="LJ12" s="157"/>
      <c r="LK12" s="157"/>
      <c r="LL12" s="157"/>
      <c r="LM12" s="157"/>
      <c r="LN12" s="157"/>
      <c r="LO12" s="157"/>
      <c r="LP12" s="157"/>
      <c r="LQ12" s="157"/>
      <c r="LR12" s="157"/>
      <c r="LS12" s="157"/>
      <c r="LT12" s="157"/>
      <c r="LU12" s="157"/>
      <c r="LV12" s="157"/>
      <c r="LW12" s="157"/>
      <c r="LX12" s="157"/>
      <c r="LY12" s="157"/>
      <c r="LZ12" s="157"/>
      <c r="MA12" s="157"/>
      <c r="MB12" s="157"/>
      <c r="MC12" s="157"/>
      <c r="MD12" s="157"/>
      <c r="ME12" s="157"/>
      <c r="MF12" s="163" t="s">
        <v>86</v>
      </c>
      <c r="MG12" s="156">
        <v>15277451</v>
      </c>
      <c r="MH12" s="156">
        <v>608213</v>
      </c>
      <c r="MI12" s="156">
        <v>582307</v>
      </c>
      <c r="MJ12" s="180">
        <v>3715551</v>
      </c>
      <c r="MK12" s="157"/>
      <c r="ML12" s="156">
        <v>11266992</v>
      </c>
      <c r="MM12" s="156">
        <v>501464</v>
      </c>
      <c r="MN12" s="156">
        <v>478799</v>
      </c>
      <c r="MO12" s="180">
        <v>2413083</v>
      </c>
      <c r="MP12" s="157"/>
      <c r="MQ12" s="156">
        <v>7575109</v>
      </c>
      <c r="MR12" s="156">
        <v>391634</v>
      </c>
      <c r="MS12" s="156">
        <v>373508</v>
      </c>
      <c r="MT12" s="180">
        <v>2040729</v>
      </c>
      <c r="MU12" s="157"/>
      <c r="MV12" s="157"/>
      <c r="MW12" s="157"/>
      <c r="MX12" s="157"/>
      <c r="MY12" s="157"/>
      <c r="MZ12" s="157"/>
      <c r="NA12" s="157"/>
      <c r="NB12" s="157"/>
      <c r="NC12" s="157"/>
      <c r="ND12" s="157"/>
      <c r="NE12" s="157"/>
      <c r="NF12" s="157"/>
      <c r="NG12" s="157"/>
      <c r="NH12" s="157"/>
      <c r="NI12" s="157"/>
      <c r="NJ12" s="157"/>
      <c r="NK12" s="157"/>
      <c r="NL12" s="157"/>
      <c r="NM12" s="157"/>
      <c r="NN12" s="157"/>
      <c r="NO12" s="157"/>
      <c r="NP12" s="157"/>
      <c r="NQ12" s="157"/>
      <c r="NR12" s="157"/>
      <c r="NS12" s="157"/>
      <c r="NT12" s="157"/>
      <c r="NU12" s="157"/>
      <c r="NV12" s="157"/>
      <c r="NW12" s="157"/>
      <c r="NX12" s="157"/>
      <c r="NY12" s="157"/>
      <c r="NZ12" s="157"/>
      <c r="OA12" s="157"/>
      <c r="OB12" s="157"/>
      <c r="OC12" s="157"/>
      <c r="OD12" s="157"/>
      <c r="OE12" s="157"/>
      <c r="OF12" s="157"/>
      <c r="OG12" s="157"/>
      <c r="OH12" s="157"/>
      <c r="OI12" s="157"/>
      <c r="OJ12" s="157"/>
      <c r="OK12" s="157"/>
      <c r="OL12" s="157"/>
    </row>
    <row r="13" spans="1:402">
      <c r="D13" s="146"/>
      <c r="I13" s="146"/>
      <c r="N13" s="146"/>
      <c r="S13" s="146"/>
      <c r="X13" s="146"/>
      <c r="AC13" s="146"/>
      <c r="AH13" s="146"/>
      <c r="AM13" s="146"/>
      <c r="AR13" s="146"/>
      <c r="AW13" s="146"/>
      <c r="BB13" s="146"/>
      <c r="BG13" s="146"/>
      <c r="BL13" s="146"/>
      <c r="BQ13" s="146"/>
      <c r="BV13" s="146"/>
      <c r="CA13" s="146"/>
      <c r="CF13" s="146"/>
      <c r="CK13" s="146"/>
      <c r="CP13" s="146"/>
      <c r="CU13" s="146"/>
      <c r="CZ13" s="146"/>
      <c r="DE13" s="146"/>
      <c r="DJ13" s="146"/>
      <c r="DO13" s="146"/>
      <c r="DT13" s="146"/>
      <c r="DY13" s="146"/>
      <c r="ED13" s="146"/>
      <c r="EI13" s="146"/>
      <c r="EN13" s="146"/>
      <c r="ES13" s="146"/>
      <c r="EX13" s="146"/>
      <c r="FC13" s="146"/>
      <c r="FH13" s="146"/>
      <c r="FM13" s="345"/>
      <c r="FR13" s="345"/>
      <c r="FW13" s="345"/>
      <c r="GB13" s="345"/>
      <c r="GH13" s="345"/>
      <c r="GM13" s="345"/>
      <c r="GR13" s="345"/>
      <c r="GW13" s="345"/>
      <c r="HB13" s="345"/>
      <c r="HG13" s="345"/>
      <c r="HL13" s="345"/>
      <c r="HQ13" s="182"/>
      <c r="HV13" s="182"/>
      <c r="HZ13" s="157"/>
      <c r="IA13" s="182"/>
      <c r="IB13" s="157"/>
      <c r="IC13" s="157"/>
      <c r="IE13" s="157"/>
      <c r="IF13" s="157"/>
      <c r="IG13" s="157"/>
      <c r="IH13" s="157"/>
      <c r="IJ13" s="157"/>
      <c r="IK13" s="182"/>
      <c r="IL13" s="157"/>
      <c r="IM13" s="157"/>
      <c r="IN13" s="157"/>
      <c r="IO13" s="157"/>
      <c r="IP13" s="157"/>
      <c r="IQ13" s="157"/>
      <c r="IR13" s="157"/>
      <c r="IS13" s="157"/>
      <c r="IT13" s="157"/>
      <c r="IU13" s="157"/>
      <c r="IV13" s="157"/>
      <c r="IW13" s="157"/>
      <c r="IX13" s="157"/>
      <c r="IY13" s="157"/>
      <c r="IZ13" s="157"/>
      <c r="JA13" s="157"/>
      <c r="JB13" s="157"/>
      <c r="JC13" s="157"/>
      <c r="JD13" s="157"/>
      <c r="JE13" s="157"/>
      <c r="JF13" s="157"/>
      <c r="JG13" s="157"/>
      <c r="JH13" s="157"/>
      <c r="JI13" s="157"/>
      <c r="JJ13" s="157"/>
      <c r="JK13" s="157"/>
      <c r="JL13" s="157"/>
      <c r="JM13" s="157"/>
      <c r="JN13" s="157"/>
      <c r="JO13" s="157"/>
      <c r="JP13" s="157"/>
      <c r="JQ13" s="157"/>
      <c r="JR13" s="157"/>
      <c r="JS13" s="157"/>
      <c r="JT13" s="157"/>
      <c r="JU13" s="157"/>
      <c r="JV13" s="157"/>
      <c r="JW13" s="157"/>
      <c r="JX13" s="157"/>
      <c r="JY13" s="157"/>
      <c r="JZ13" s="157"/>
      <c r="KA13" s="157"/>
      <c r="KB13" s="157"/>
      <c r="KC13" s="157"/>
      <c r="KD13" s="157"/>
      <c r="KE13" s="157"/>
      <c r="KF13" s="157"/>
      <c r="KG13" s="157"/>
      <c r="KH13" s="157"/>
      <c r="KI13" s="157"/>
      <c r="KJ13" s="157"/>
      <c r="KK13" s="157"/>
      <c r="KL13" s="157"/>
      <c r="KM13" s="157"/>
      <c r="KN13" s="157"/>
      <c r="KO13" s="157"/>
      <c r="KP13" s="157"/>
      <c r="KQ13" s="157"/>
      <c r="KR13" s="157"/>
      <c r="KS13" s="157"/>
      <c r="KT13" s="157"/>
      <c r="KU13" s="157"/>
      <c r="KV13" s="157"/>
      <c r="KW13" s="157"/>
      <c r="KX13" s="157"/>
      <c r="KY13" s="157"/>
      <c r="KZ13" s="157"/>
      <c r="LA13" s="157"/>
      <c r="LB13" s="157"/>
      <c r="LC13" s="157"/>
      <c r="LD13" s="157"/>
      <c r="LE13" s="157"/>
      <c r="LF13" s="157"/>
      <c r="LG13" s="157"/>
      <c r="LH13" s="157"/>
      <c r="LI13" s="157"/>
      <c r="LJ13" s="157"/>
      <c r="LK13" s="157"/>
      <c r="LL13" s="157"/>
      <c r="LM13" s="157"/>
      <c r="LN13" s="157"/>
      <c r="LO13" s="157"/>
      <c r="LP13" s="157"/>
      <c r="LQ13" s="157"/>
      <c r="LR13" s="157"/>
      <c r="LS13" s="157"/>
      <c r="LT13" s="157"/>
      <c r="LU13" s="157"/>
      <c r="LV13" s="157"/>
      <c r="LW13" s="157"/>
      <c r="LX13" s="157"/>
      <c r="LY13" s="157"/>
      <c r="LZ13" s="157"/>
      <c r="MA13" s="157"/>
      <c r="MB13" s="157"/>
      <c r="MC13" s="157"/>
      <c r="MD13" s="157"/>
      <c r="ME13" s="157"/>
      <c r="MF13" s="163" t="s">
        <v>87</v>
      </c>
      <c r="MG13" s="156">
        <v>610021</v>
      </c>
      <c r="MH13" s="156">
        <v>84165</v>
      </c>
      <c r="MI13" s="156">
        <v>41120</v>
      </c>
      <c r="MJ13" s="156">
        <v>267663</v>
      </c>
      <c r="MK13" s="157"/>
      <c r="ML13" s="156">
        <v>456151</v>
      </c>
      <c r="MM13" s="156">
        <v>86553</v>
      </c>
      <c r="MN13" s="156">
        <v>56211</v>
      </c>
      <c r="MO13" s="156">
        <v>230454</v>
      </c>
      <c r="MP13" s="157"/>
      <c r="MQ13" s="156">
        <v>300764</v>
      </c>
      <c r="MR13" s="156">
        <v>55352</v>
      </c>
      <c r="MS13" s="156">
        <v>36866</v>
      </c>
      <c r="MT13" s="156">
        <v>222294</v>
      </c>
      <c r="MU13" s="157"/>
      <c r="MV13" s="157"/>
      <c r="MW13" s="157"/>
      <c r="MX13" s="157"/>
      <c r="MY13" s="157"/>
      <c r="MZ13" s="157"/>
      <c r="NA13" s="157"/>
      <c r="NB13" s="157"/>
      <c r="NC13" s="157"/>
      <c r="ND13" s="157"/>
      <c r="NE13" s="157"/>
      <c r="NF13" s="157"/>
      <c r="NG13" s="157"/>
      <c r="NH13" s="157"/>
      <c r="NI13" s="157"/>
      <c r="NJ13" s="157"/>
      <c r="NK13" s="157"/>
      <c r="NL13" s="157"/>
      <c r="NM13" s="157"/>
      <c r="NN13" s="157"/>
      <c r="NO13" s="157"/>
      <c r="NP13" s="157"/>
      <c r="NQ13" s="157"/>
      <c r="NR13" s="157"/>
      <c r="NS13" s="157"/>
      <c r="NT13" s="157"/>
      <c r="NU13" s="157"/>
      <c r="NV13" s="157"/>
      <c r="NW13" s="157"/>
      <c r="NX13" s="157"/>
      <c r="NY13" s="157"/>
      <c r="NZ13" s="157"/>
      <c r="OA13" s="157"/>
      <c r="OB13" s="157"/>
      <c r="OC13" s="157"/>
      <c r="OD13" s="157"/>
      <c r="OE13" s="157"/>
      <c r="OF13" s="157"/>
      <c r="OG13" s="157"/>
      <c r="OH13" s="157"/>
      <c r="OI13" s="157"/>
      <c r="OJ13" s="157"/>
      <c r="OK13" s="157"/>
      <c r="OL13" s="157"/>
    </row>
    <row r="14" spans="1:402" ht="51">
      <c r="A14" s="62" t="s">
        <v>374</v>
      </c>
      <c r="C14" s="608" t="s">
        <v>828</v>
      </c>
      <c r="D14" s="608" t="s">
        <v>829</v>
      </c>
      <c r="E14" s="608" t="s">
        <v>830</v>
      </c>
      <c r="F14" s="608" t="s">
        <v>852</v>
      </c>
      <c r="H14" s="608" t="s">
        <v>824</v>
      </c>
      <c r="I14" s="608" t="s">
        <v>825</v>
      </c>
      <c r="J14" s="608" t="s">
        <v>826</v>
      </c>
      <c r="K14" s="608" t="s">
        <v>852</v>
      </c>
      <c r="M14" s="608" t="s">
        <v>809</v>
      </c>
      <c r="N14" s="608" t="s">
        <v>810</v>
      </c>
      <c r="O14" s="608" t="s">
        <v>811</v>
      </c>
      <c r="P14" s="608" t="s">
        <v>852</v>
      </c>
      <c r="R14" s="608" t="s">
        <v>815</v>
      </c>
      <c r="S14" s="608" t="s">
        <v>816</v>
      </c>
      <c r="T14" s="608" t="s">
        <v>817</v>
      </c>
      <c r="U14" s="608" t="s">
        <v>852</v>
      </c>
      <c r="W14" s="608" t="s">
        <v>788</v>
      </c>
      <c r="X14" s="608" t="s">
        <v>789</v>
      </c>
      <c r="Y14" s="608" t="s">
        <v>790</v>
      </c>
      <c r="Z14" s="608" t="s">
        <v>852</v>
      </c>
      <c r="AB14" s="608" t="s">
        <v>849</v>
      </c>
      <c r="AC14" s="608" t="s">
        <v>850</v>
      </c>
      <c r="AD14" s="608" t="s">
        <v>851</v>
      </c>
      <c r="AE14" s="608" t="s">
        <v>793</v>
      </c>
      <c r="AG14" s="608" t="s">
        <v>768</v>
      </c>
      <c r="AH14" s="608" t="s">
        <v>769</v>
      </c>
      <c r="AI14" s="608" t="s">
        <v>770</v>
      </c>
      <c r="AJ14" s="608" t="s">
        <v>793</v>
      </c>
      <c r="AL14" s="608" t="s">
        <v>740</v>
      </c>
      <c r="AM14" s="608" t="s">
        <v>741</v>
      </c>
      <c r="AN14" s="608" t="s">
        <v>742</v>
      </c>
      <c r="AO14" s="608" t="s">
        <v>793</v>
      </c>
      <c r="AQ14" s="608" t="s">
        <v>736</v>
      </c>
      <c r="AR14" s="608" t="s">
        <v>737</v>
      </c>
      <c r="AS14" s="608" t="s">
        <v>738</v>
      </c>
      <c r="AT14" s="608" t="s">
        <v>793</v>
      </c>
      <c r="AV14" s="608" t="s">
        <v>718</v>
      </c>
      <c r="AW14" s="608" t="s">
        <v>719</v>
      </c>
      <c r="AX14" s="608" t="s">
        <v>812</v>
      </c>
      <c r="AY14" s="608" t="s">
        <v>793</v>
      </c>
      <c r="BA14" s="608" t="s">
        <v>723</v>
      </c>
      <c r="BB14" s="608" t="s">
        <v>724</v>
      </c>
      <c r="BC14" s="608" t="s">
        <v>814</v>
      </c>
      <c r="BD14" s="608" t="s">
        <v>793</v>
      </c>
      <c r="BF14" s="608" t="s">
        <v>705</v>
      </c>
      <c r="BG14" s="608" t="s">
        <v>706</v>
      </c>
      <c r="BH14" s="608" t="s">
        <v>791</v>
      </c>
      <c r="BI14" s="608" t="s">
        <v>793</v>
      </c>
      <c r="BK14" s="608" t="s">
        <v>673</v>
      </c>
      <c r="BL14" s="608" t="s">
        <v>674</v>
      </c>
      <c r="BM14" s="608" t="s">
        <v>675</v>
      </c>
      <c r="BN14" s="608" t="s">
        <v>680</v>
      </c>
      <c r="BP14" s="608" t="s">
        <v>774</v>
      </c>
      <c r="BQ14" s="608" t="s">
        <v>775</v>
      </c>
      <c r="BR14" s="608" t="s">
        <v>776</v>
      </c>
      <c r="BS14" s="608" t="str">
        <f>BN14</f>
        <v>Aktywa ogółem na dzień 
31 grudnia 2021 / Total assets as of 31.12.2021</v>
      </c>
      <c r="BU14" s="60" t="s">
        <v>657</v>
      </c>
      <c r="BV14" s="60" t="s">
        <v>658</v>
      </c>
      <c r="BW14" s="60" t="s">
        <v>659</v>
      </c>
      <c r="BX14" s="60" t="s">
        <v>660</v>
      </c>
      <c r="BZ14" s="60" t="s">
        <v>661</v>
      </c>
      <c r="CA14" s="60" t="s">
        <v>662</v>
      </c>
      <c r="CB14" s="60" t="s">
        <v>663</v>
      </c>
      <c r="CC14" s="60" t="str">
        <f>BX14</f>
        <v>Aktywa ogółem na dzień 
30 września 2021 / Total assets as of 30.09.2021</v>
      </c>
      <c r="CE14" s="60" t="s">
        <v>726</v>
      </c>
      <c r="CF14" s="60" t="s">
        <v>649</v>
      </c>
      <c r="CG14" s="60" t="s">
        <v>727</v>
      </c>
      <c r="CH14" s="60" t="s">
        <v>651</v>
      </c>
      <c r="CJ14" s="60" t="s">
        <v>645</v>
      </c>
      <c r="CK14" s="60" t="s">
        <v>646</v>
      </c>
      <c r="CL14" s="60" t="s">
        <v>722</v>
      </c>
      <c r="CM14" s="60" t="s">
        <v>651</v>
      </c>
      <c r="CO14" s="60" t="s">
        <v>637</v>
      </c>
      <c r="CP14" s="60" t="s">
        <v>706</v>
      </c>
      <c r="CQ14" s="60" t="s">
        <v>707</v>
      </c>
      <c r="CR14" s="60" t="s">
        <v>640</v>
      </c>
      <c r="CT14" s="60" t="s">
        <v>616</v>
      </c>
      <c r="CU14" s="60" t="s">
        <v>617</v>
      </c>
      <c r="CV14" s="60" t="s">
        <v>618</v>
      </c>
      <c r="CW14" s="60" t="s">
        <v>625</v>
      </c>
      <c r="CY14" s="60" t="s">
        <v>677</v>
      </c>
      <c r="CZ14" s="60" t="s">
        <v>678</v>
      </c>
      <c r="DA14" s="60" t="s">
        <v>679</v>
      </c>
      <c r="DB14" s="60" t="s">
        <v>625</v>
      </c>
      <c r="DD14" s="60" t="s">
        <v>601</v>
      </c>
      <c r="DE14" s="60" t="s">
        <v>602</v>
      </c>
      <c r="DF14" s="60" t="s">
        <v>603</v>
      </c>
      <c r="DG14" s="60" t="s">
        <v>604</v>
      </c>
      <c r="DI14" s="60" t="s">
        <v>605</v>
      </c>
      <c r="DJ14" s="60" t="s">
        <v>606</v>
      </c>
      <c r="DK14" s="60" t="s">
        <v>607</v>
      </c>
      <c r="DL14" s="60" t="s">
        <v>604</v>
      </c>
      <c r="DN14" s="60" t="s">
        <v>652</v>
      </c>
      <c r="DO14" s="60" t="s">
        <v>595</v>
      </c>
      <c r="DP14" s="60" t="s">
        <v>596</v>
      </c>
      <c r="DQ14" s="60" t="s">
        <v>653</v>
      </c>
      <c r="DS14" s="60" t="s">
        <v>589</v>
      </c>
      <c r="DT14" s="60" t="s">
        <v>591</v>
      </c>
      <c r="DU14" s="60" t="s">
        <v>592</v>
      </c>
      <c r="DV14" s="60" t="s">
        <v>653</v>
      </c>
      <c r="DX14" s="60" t="s">
        <v>579</v>
      </c>
      <c r="DY14" s="60" t="s">
        <v>580</v>
      </c>
      <c r="DZ14" s="60" t="s">
        <v>581</v>
      </c>
      <c r="EA14" s="60" t="s">
        <v>582</v>
      </c>
      <c r="EC14" s="60" t="s">
        <v>573</v>
      </c>
      <c r="ED14" s="60" t="s">
        <v>574</v>
      </c>
      <c r="EE14" s="60" t="s">
        <v>575</v>
      </c>
      <c r="EF14" s="60" t="s">
        <v>572</v>
      </c>
      <c r="EH14" s="60" t="s">
        <v>622</v>
      </c>
      <c r="EI14" s="60" t="s">
        <v>623</v>
      </c>
      <c r="EJ14" s="60" t="s">
        <v>624</v>
      </c>
      <c r="EK14" s="60" t="s">
        <v>572</v>
      </c>
      <c r="EM14" s="60" t="s">
        <v>558</v>
      </c>
      <c r="EN14" s="60" t="s">
        <v>559</v>
      </c>
      <c r="EO14" s="60" t="s">
        <v>560</v>
      </c>
      <c r="EP14" s="60" t="s">
        <v>557</v>
      </c>
      <c r="ER14" s="60" t="s">
        <v>554</v>
      </c>
      <c r="ES14" s="60" t="s">
        <v>555</v>
      </c>
      <c r="ET14" s="60" t="s">
        <v>556</v>
      </c>
      <c r="EU14" s="60" t="s">
        <v>557</v>
      </c>
      <c r="EW14" s="60" t="s">
        <v>542</v>
      </c>
      <c r="EX14" s="60" t="s">
        <v>543</v>
      </c>
      <c r="EY14" s="60" t="s">
        <v>544</v>
      </c>
      <c r="EZ14" s="60" t="s">
        <v>598</v>
      </c>
      <c r="FB14" s="60" t="s">
        <v>546</v>
      </c>
      <c r="FC14" s="60" t="s">
        <v>547</v>
      </c>
      <c r="FD14" s="60" t="s">
        <v>548</v>
      </c>
      <c r="FE14" s="60" t="s">
        <v>598</v>
      </c>
      <c r="FG14" s="60" t="s">
        <v>531</v>
      </c>
      <c r="FH14" s="60" t="s">
        <v>532</v>
      </c>
      <c r="FI14" s="60" t="s">
        <v>533</v>
      </c>
      <c r="FJ14" s="60" t="s">
        <v>534</v>
      </c>
      <c r="FL14" s="340" t="s">
        <v>518</v>
      </c>
      <c r="FM14" s="340" t="s">
        <v>519</v>
      </c>
      <c r="FN14" s="340" t="s">
        <v>520</v>
      </c>
      <c r="FO14" s="340" t="s">
        <v>521</v>
      </c>
      <c r="FQ14" s="340" t="s">
        <v>524</v>
      </c>
      <c r="FR14" s="340" t="s">
        <v>525</v>
      </c>
      <c r="FS14" s="340" t="s">
        <v>526</v>
      </c>
      <c r="FT14" s="340" t="s">
        <v>521</v>
      </c>
      <c r="FV14" s="340" t="s">
        <v>503</v>
      </c>
      <c r="FW14" s="340" t="s">
        <v>504</v>
      </c>
      <c r="FX14" s="340" t="s">
        <v>505</v>
      </c>
      <c r="FY14" s="340" t="s">
        <v>506</v>
      </c>
      <c r="GA14" s="340" t="s">
        <v>507</v>
      </c>
      <c r="GB14" s="340" t="s">
        <v>508</v>
      </c>
      <c r="GC14" s="340" t="s">
        <v>509</v>
      </c>
      <c r="GD14" s="340" t="s">
        <v>506</v>
      </c>
      <c r="GG14" s="340" t="s">
        <v>494</v>
      </c>
      <c r="GH14" s="340" t="s">
        <v>495</v>
      </c>
      <c r="GI14" s="340" t="s">
        <v>496</v>
      </c>
      <c r="GJ14" s="340" t="s">
        <v>462</v>
      </c>
      <c r="GL14" s="340" t="s">
        <v>545</v>
      </c>
      <c r="GM14" s="340" t="s">
        <v>460</v>
      </c>
      <c r="GN14" s="340" t="s">
        <v>461</v>
      </c>
      <c r="GO14" s="340" t="s">
        <v>462</v>
      </c>
      <c r="GQ14" s="340" t="s">
        <v>109</v>
      </c>
      <c r="GR14" s="340" t="s">
        <v>110</v>
      </c>
      <c r="GS14" s="340" t="s">
        <v>112</v>
      </c>
      <c r="GT14" s="340" t="s">
        <v>114</v>
      </c>
      <c r="GV14" s="340" t="s">
        <v>201</v>
      </c>
      <c r="GW14" s="340" t="s">
        <v>522</v>
      </c>
      <c r="GX14" s="340" t="s">
        <v>523</v>
      </c>
      <c r="GY14" s="340" t="s">
        <v>121</v>
      </c>
      <c r="HA14" s="340" t="s">
        <v>116</v>
      </c>
      <c r="HB14" s="340" t="s">
        <v>527</v>
      </c>
      <c r="HC14" s="340" t="s">
        <v>119</v>
      </c>
      <c r="HD14" s="340" t="s">
        <v>121</v>
      </c>
      <c r="HF14" s="340" t="s">
        <v>365</v>
      </c>
      <c r="HG14" s="340" t="s">
        <v>510</v>
      </c>
      <c r="HH14" s="340" t="s">
        <v>511</v>
      </c>
      <c r="HI14" s="340" t="s">
        <v>121</v>
      </c>
      <c r="HK14" s="340" t="s">
        <v>129</v>
      </c>
      <c r="HL14" s="340" t="s">
        <v>512</v>
      </c>
      <c r="HM14" s="340" t="s">
        <v>132</v>
      </c>
      <c r="HN14" s="340" t="s">
        <v>121</v>
      </c>
      <c r="HP14" s="177" t="s">
        <v>144</v>
      </c>
      <c r="HQ14" s="177" t="s">
        <v>498</v>
      </c>
      <c r="HR14" s="177" t="s">
        <v>148</v>
      </c>
      <c r="HS14" s="177" t="s">
        <v>121</v>
      </c>
      <c r="HU14" s="177" t="s">
        <v>136</v>
      </c>
      <c r="HV14" s="177" t="s">
        <v>497</v>
      </c>
      <c r="HW14" s="177" t="s">
        <v>140</v>
      </c>
      <c r="HX14" s="177" t="s">
        <v>121</v>
      </c>
      <c r="HZ14" s="177" t="s">
        <v>150</v>
      </c>
      <c r="IA14" s="177" t="s">
        <v>111</v>
      </c>
      <c r="IB14" s="177" t="s">
        <v>113</v>
      </c>
      <c r="IC14" s="177" t="s">
        <v>121</v>
      </c>
      <c r="IE14" s="177" t="s">
        <v>122</v>
      </c>
      <c r="IF14" s="177" t="s">
        <v>125</v>
      </c>
      <c r="IG14" s="177" t="s">
        <v>126</v>
      </c>
      <c r="IH14" s="177" t="s">
        <v>127</v>
      </c>
      <c r="IJ14" s="177" t="s">
        <v>200</v>
      </c>
      <c r="IK14" s="177" t="s">
        <v>118</v>
      </c>
      <c r="IL14" s="177" t="s">
        <v>120</v>
      </c>
      <c r="IM14" s="177" t="s">
        <v>143</v>
      </c>
      <c r="IN14" s="157"/>
      <c r="IO14" s="177" t="s">
        <v>366</v>
      </c>
      <c r="IP14" s="177" t="s">
        <v>367</v>
      </c>
      <c r="IQ14" s="177" t="s">
        <v>370</v>
      </c>
      <c r="IR14" s="177" t="s">
        <v>135</v>
      </c>
      <c r="IS14" s="177"/>
      <c r="IT14" s="177" t="s">
        <v>199</v>
      </c>
      <c r="IU14" s="177" t="s">
        <v>131</v>
      </c>
      <c r="IV14" s="177" t="s">
        <v>133</v>
      </c>
      <c r="IW14" s="177" t="s">
        <v>135</v>
      </c>
      <c r="IX14" s="157"/>
      <c r="IY14" s="177" t="s">
        <v>145</v>
      </c>
      <c r="IZ14" s="177" t="s">
        <v>147</v>
      </c>
      <c r="JA14" s="177" t="s">
        <v>149</v>
      </c>
      <c r="JB14" s="177" t="s">
        <v>127</v>
      </c>
      <c r="JC14" s="157"/>
      <c r="JD14" s="177" t="s">
        <v>137</v>
      </c>
      <c r="JE14" s="177" t="s">
        <v>139</v>
      </c>
      <c r="JF14" s="177" t="s">
        <v>141</v>
      </c>
      <c r="JG14" s="177" t="s">
        <v>143</v>
      </c>
      <c r="JH14" s="157"/>
      <c r="JI14" s="177" t="s">
        <v>151</v>
      </c>
      <c r="JJ14" s="177" t="s">
        <v>153</v>
      </c>
      <c r="JK14" s="177" t="s">
        <v>154</v>
      </c>
      <c r="JL14" s="177" t="s">
        <v>143</v>
      </c>
      <c r="JM14" s="157"/>
      <c r="JN14" s="177" t="s">
        <v>156</v>
      </c>
      <c r="JO14" s="177" t="s">
        <v>157</v>
      </c>
      <c r="JP14" s="177" t="s">
        <v>158</v>
      </c>
      <c r="JQ14" s="177" t="s">
        <v>159</v>
      </c>
      <c r="JR14" s="157"/>
      <c r="JS14" s="177" t="s">
        <v>352</v>
      </c>
      <c r="JT14" s="177" t="s">
        <v>332</v>
      </c>
      <c r="JU14" s="177" t="s">
        <v>333</v>
      </c>
      <c r="JV14" s="177" t="s">
        <v>159</v>
      </c>
      <c r="JW14" s="157"/>
      <c r="JX14" s="177" t="s">
        <v>340</v>
      </c>
      <c r="JY14" s="177" t="s">
        <v>339</v>
      </c>
      <c r="JZ14" s="177" t="s">
        <v>338</v>
      </c>
      <c r="KA14" s="177" t="s">
        <v>160</v>
      </c>
      <c r="KB14" s="157"/>
      <c r="KC14" s="177" t="s">
        <v>343</v>
      </c>
      <c r="KD14" s="177" t="s">
        <v>344</v>
      </c>
      <c r="KE14" s="177" t="s">
        <v>475</v>
      </c>
      <c r="KF14" s="177" t="s">
        <v>160</v>
      </c>
      <c r="KG14" s="157"/>
      <c r="KH14" s="177" t="s">
        <v>345</v>
      </c>
      <c r="KI14" s="177" t="s">
        <v>473</v>
      </c>
      <c r="KJ14" s="177" t="s">
        <v>471</v>
      </c>
      <c r="KK14" s="177" t="s">
        <v>162</v>
      </c>
      <c r="KL14" s="157"/>
      <c r="KM14" s="177" t="s">
        <v>349</v>
      </c>
      <c r="KN14" s="177" t="s">
        <v>348</v>
      </c>
      <c r="KO14" s="177" t="s">
        <v>466</v>
      </c>
      <c r="KP14" s="177" t="s">
        <v>162</v>
      </c>
      <c r="KQ14" s="157"/>
      <c r="KR14" s="177" t="s">
        <v>351</v>
      </c>
      <c r="KS14" s="177" t="s">
        <v>359</v>
      </c>
      <c r="KT14" s="177" t="s">
        <v>464</v>
      </c>
      <c r="KU14" s="177" t="s">
        <v>163</v>
      </c>
      <c r="KV14" s="157"/>
      <c r="KW14" s="177" t="s">
        <v>169</v>
      </c>
      <c r="KX14" s="160" t="s">
        <v>170</v>
      </c>
      <c r="KY14" s="160" t="s">
        <v>171</v>
      </c>
      <c r="KZ14" s="177" t="s">
        <v>172</v>
      </c>
      <c r="LA14" s="157"/>
      <c r="LB14" s="177" t="s">
        <v>486</v>
      </c>
      <c r="LC14" s="160" t="s">
        <v>484</v>
      </c>
      <c r="LD14" s="160" t="s">
        <v>482</v>
      </c>
      <c r="LE14" s="177" t="s">
        <v>172</v>
      </c>
      <c r="LF14" s="178"/>
      <c r="LG14" s="177" t="s">
        <v>354</v>
      </c>
      <c r="LH14" s="177" t="s">
        <v>355</v>
      </c>
      <c r="LI14" s="160" t="s">
        <v>356</v>
      </c>
      <c r="LJ14" s="177" t="s">
        <v>173</v>
      </c>
      <c r="LK14" s="157"/>
      <c r="LL14" s="177" t="s">
        <v>480</v>
      </c>
      <c r="LM14" s="177" t="s">
        <v>478</v>
      </c>
      <c r="LN14" s="160" t="s">
        <v>476</v>
      </c>
      <c r="LO14" s="177" t="s">
        <v>173</v>
      </c>
      <c r="LP14" s="157"/>
      <c r="LQ14" s="177" t="s">
        <v>358</v>
      </c>
      <c r="LR14" s="177" t="s">
        <v>474</v>
      </c>
      <c r="LS14" s="160" t="s">
        <v>472</v>
      </c>
      <c r="LT14" s="177" t="s">
        <v>175</v>
      </c>
      <c r="LU14" s="157"/>
      <c r="LV14" s="177" t="s">
        <v>470</v>
      </c>
      <c r="LW14" s="177" t="s">
        <v>468</v>
      </c>
      <c r="LX14" s="177" t="s">
        <v>467</v>
      </c>
      <c r="LY14" s="177" t="s">
        <v>175</v>
      </c>
      <c r="LZ14" s="157"/>
      <c r="MA14" s="177" t="s">
        <v>360</v>
      </c>
      <c r="MB14" s="160" t="s">
        <v>361</v>
      </c>
      <c r="MC14" s="160" t="s">
        <v>362</v>
      </c>
      <c r="MD14" s="177" t="s">
        <v>177</v>
      </c>
      <c r="ME14" s="157"/>
      <c r="MF14" s="173" t="s">
        <v>88</v>
      </c>
      <c r="MG14" s="170">
        <v>261063</v>
      </c>
      <c r="MH14" s="170">
        <v>22158</v>
      </c>
      <c r="MI14" s="170">
        <v>15473</v>
      </c>
      <c r="MJ14" s="170">
        <v>191933</v>
      </c>
      <c r="MK14" s="157"/>
      <c r="ML14" s="170">
        <v>203834</v>
      </c>
      <c r="MM14" s="170">
        <v>22996</v>
      </c>
      <c r="MN14" s="170">
        <v>17890</v>
      </c>
      <c r="MO14" s="170">
        <v>160564</v>
      </c>
      <c r="MP14" s="157"/>
      <c r="MQ14" s="170">
        <v>125080</v>
      </c>
      <c r="MR14" s="170">
        <v>11886</v>
      </c>
      <c r="MS14" s="170">
        <v>8501</v>
      </c>
      <c r="MT14" s="170">
        <v>182892</v>
      </c>
      <c r="MU14" s="157"/>
      <c r="MV14" s="157"/>
      <c r="MW14" s="157"/>
      <c r="MX14" s="157"/>
      <c r="MY14" s="157"/>
      <c r="MZ14" s="157"/>
      <c r="NA14" s="157"/>
      <c r="NB14" s="157"/>
      <c r="NC14" s="157"/>
      <c r="ND14" s="157"/>
      <c r="NE14" s="157"/>
      <c r="NF14" s="157"/>
      <c r="NG14" s="157"/>
      <c r="NH14" s="157"/>
      <c r="NI14" s="157"/>
      <c r="NJ14" s="157"/>
      <c r="NK14" s="157"/>
      <c r="NL14" s="157"/>
      <c r="NM14" s="157"/>
      <c r="NN14" s="157"/>
      <c r="NO14" s="157"/>
      <c r="NP14" s="157"/>
      <c r="NQ14" s="157"/>
      <c r="NR14" s="157"/>
      <c r="NS14" s="157"/>
      <c r="NT14" s="157"/>
      <c r="NU14" s="157"/>
      <c r="NV14" s="157"/>
      <c r="NW14" s="157"/>
      <c r="NX14" s="157"/>
      <c r="NY14" s="157"/>
      <c r="NZ14" s="157"/>
      <c r="OA14" s="157"/>
      <c r="OB14" s="157"/>
      <c r="OC14" s="157"/>
      <c r="OD14" s="157"/>
      <c r="OE14" s="157"/>
      <c r="OF14" s="157"/>
      <c r="OG14" s="157"/>
      <c r="OH14" s="157"/>
      <c r="OI14" s="157"/>
      <c r="OJ14" s="157"/>
      <c r="OK14" s="157"/>
      <c r="OL14" s="157"/>
    </row>
    <row r="15" spans="1:402">
      <c r="A15" s="306" t="s">
        <v>77</v>
      </c>
      <c r="C15" s="609"/>
      <c r="D15" s="609"/>
      <c r="E15" s="609"/>
      <c r="F15" s="609"/>
      <c r="H15" s="609"/>
      <c r="I15" s="609"/>
      <c r="J15" s="609"/>
      <c r="K15" s="609"/>
      <c r="M15" s="609"/>
      <c r="N15" s="609"/>
      <c r="O15" s="609"/>
      <c r="P15" s="609"/>
      <c r="R15" s="609"/>
      <c r="S15" s="609"/>
      <c r="T15" s="609"/>
      <c r="U15" s="609"/>
      <c r="W15" s="609"/>
      <c r="X15" s="609"/>
      <c r="Y15" s="609"/>
      <c r="Z15" s="609"/>
      <c r="AB15" s="609"/>
      <c r="AC15" s="609"/>
      <c r="AD15" s="609"/>
      <c r="AE15" s="609"/>
      <c r="AG15" s="609"/>
      <c r="AH15" s="609"/>
      <c r="AI15" s="609"/>
      <c r="AJ15" s="609"/>
      <c r="AL15" s="609"/>
      <c r="AM15" s="609"/>
      <c r="AN15" s="609"/>
      <c r="AO15" s="609"/>
      <c r="AQ15" s="609"/>
      <c r="AR15" s="609"/>
      <c r="AS15" s="609"/>
      <c r="AT15" s="609"/>
      <c r="AV15" s="609"/>
      <c r="AW15" s="609"/>
      <c r="AX15" s="609"/>
      <c r="AY15" s="609"/>
      <c r="BA15" s="609"/>
      <c r="BB15" s="609"/>
      <c r="BC15" s="609"/>
      <c r="BD15" s="609"/>
      <c r="BF15" s="609"/>
      <c r="BG15" s="609"/>
      <c r="BH15" s="609"/>
      <c r="BI15" s="609"/>
      <c r="BK15" s="609"/>
      <c r="BL15" s="609"/>
      <c r="BM15" s="609"/>
      <c r="BN15" s="609"/>
      <c r="BP15" s="609"/>
      <c r="BQ15" s="609"/>
      <c r="BR15" s="609"/>
      <c r="BS15" s="609"/>
      <c r="BU15" s="336">
        <v>410000</v>
      </c>
      <c r="BV15" s="336">
        <v>-128000</v>
      </c>
      <c r="BW15" s="336">
        <v>-139000</v>
      </c>
      <c r="BX15" s="336">
        <f t="shared" ref="BX15:BX21" si="22">CC15</f>
        <v>899000</v>
      </c>
      <c r="BZ15" s="336">
        <v>990000</v>
      </c>
      <c r="CA15" s="336">
        <v>-174000</v>
      </c>
      <c r="CB15" s="336">
        <v>-460000</v>
      </c>
      <c r="CC15" s="336">
        <v>899000</v>
      </c>
      <c r="CE15" s="336">
        <f t="shared" ref="CE15:CE21" si="23">CJ15-CO15</f>
        <v>277000</v>
      </c>
      <c r="CF15" s="336">
        <f t="shared" ref="CF15:CF21" si="24">CK15-CP15</f>
        <v>-32000</v>
      </c>
      <c r="CG15" s="336">
        <f t="shared" ref="CG15:CG21" si="25">CL15-CQ15</f>
        <v>-271000</v>
      </c>
      <c r="CH15" s="336">
        <v>899000</v>
      </c>
      <c r="CJ15" s="336">
        <v>580000</v>
      </c>
      <c r="CK15" s="336">
        <v>-46000</v>
      </c>
      <c r="CL15" s="336">
        <v>-321000</v>
      </c>
      <c r="CM15" s="336">
        <v>899000</v>
      </c>
      <c r="CO15" s="336">
        <v>303000</v>
      </c>
      <c r="CP15" s="336">
        <v>-14000</v>
      </c>
      <c r="CQ15" s="336">
        <v>-50000</v>
      </c>
      <c r="CR15" s="336">
        <v>899000</v>
      </c>
      <c r="CT15" s="336">
        <f t="shared" ref="CT15:CT21" si="26">CY15-DI15</f>
        <v>263276</v>
      </c>
      <c r="CU15" s="336">
        <f t="shared" ref="CU15:CU21" si="27">CZ15-DJ15</f>
        <v>-124594</v>
      </c>
      <c r="CV15" s="336">
        <f t="shared" ref="CV15:CV21" si="28">DA15-DK15</f>
        <v>-539254</v>
      </c>
      <c r="CW15" s="336">
        <f t="shared" ref="CW15:CW21" si="29">DB15</f>
        <v>1116000</v>
      </c>
      <c r="CY15" s="336">
        <v>1052000</v>
      </c>
      <c r="CZ15" s="336">
        <v>-157000</v>
      </c>
      <c r="DA15" s="336">
        <v>-887000</v>
      </c>
      <c r="DB15" s="336">
        <v>1116000</v>
      </c>
      <c r="DD15" s="336">
        <f t="shared" ref="DD15:DF21" si="30">DI15-DS15</f>
        <v>285753</v>
      </c>
      <c r="DE15" s="336">
        <f t="shared" si="30"/>
        <v>-39185</v>
      </c>
      <c r="DF15" s="336">
        <f t="shared" si="30"/>
        <v>-76441</v>
      </c>
      <c r="DG15" s="336">
        <f t="shared" ref="DG15:DG21" si="31">DL15</f>
        <v>1115883</v>
      </c>
      <c r="DI15" s="336">
        <v>788724</v>
      </c>
      <c r="DJ15" s="336">
        <v>-32406</v>
      </c>
      <c r="DK15" s="336">
        <v>-347746</v>
      </c>
      <c r="DL15" s="336">
        <v>1115883</v>
      </c>
      <c r="DN15" s="336">
        <f t="shared" ref="DN15:DP21" si="32">DS15-DX15</f>
        <v>266547</v>
      </c>
      <c r="DO15" s="336">
        <f t="shared" si="32"/>
        <v>43134</v>
      </c>
      <c r="DP15" s="336">
        <f t="shared" si="32"/>
        <v>-187414</v>
      </c>
      <c r="DQ15" s="336">
        <f t="shared" ref="DQ15:DQ21" si="33">DV15</f>
        <v>1115883</v>
      </c>
      <c r="DS15" s="336">
        <v>502971</v>
      </c>
      <c r="DT15" s="336">
        <v>6779</v>
      </c>
      <c r="DU15" s="336">
        <v>-271305</v>
      </c>
      <c r="DV15" s="336">
        <v>1115883</v>
      </c>
      <c r="DX15" s="336">
        <v>236424</v>
      </c>
      <c r="DY15" s="336">
        <v>-36355</v>
      </c>
      <c r="DZ15" s="336">
        <v>-83891</v>
      </c>
      <c r="EA15" s="336">
        <v>1115883</v>
      </c>
      <c r="EC15" s="336">
        <f t="shared" ref="EC15:EC22" si="34">EH15-ER15</f>
        <v>211025</v>
      </c>
      <c r="ED15" s="336">
        <f t="shared" ref="ED15:ED22" si="35">EI15-ES15</f>
        <v>-238231</v>
      </c>
      <c r="EE15" s="336">
        <f t="shared" ref="EE15:EE22" si="36">EJ15-ET15</f>
        <v>-715619</v>
      </c>
      <c r="EF15" s="336">
        <f t="shared" ref="EF15:EF22" si="37">EK15</f>
        <v>1294329</v>
      </c>
      <c r="EH15" s="336">
        <v>944433</v>
      </c>
      <c r="EI15" s="336">
        <v>-499865</v>
      </c>
      <c r="EJ15" s="336">
        <v>-1391949</v>
      </c>
      <c r="EK15" s="336">
        <v>1294329</v>
      </c>
      <c r="EM15" s="336">
        <v>201718</v>
      </c>
      <c r="EN15" s="336">
        <v>-118709</v>
      </c>
      <c r="EO15" s="336">
        <v>-164999</v>
      </c>
      <c r="EP15" s="336">
        <f t="shared" ref="EP15:EP22" si="38">EU15</f>
        <v>1294329</v>
      </c>
      <c r="ER15" s="336">
        <v>733408</v>
      </c>
      <c r="ES15" s="336">
        <v>-261634</v>
      </c>
      <c r="ET15" s="336">
        <v>-676330</v>
      </c>
      <c r="EU15" s="336">
        <v>1294329</v>
      </c>
      <c r="EW15" s="61">
        <f t="shared" ref="EW15:EY22" si="39">FB15-FG15</f>
        <v>239824</v>
      </c>
      <c r="EX15" s="147">
        <f t="shared" si="39"/>
        <v>-98644</v>
      </c>
      <c r="EY15" s="61">
        <f t="shared" si="39"/>
        <v>-415414</v>
      </c>
      <c r="EZ15" s="61">
        <v>1294329</v>
      </c>
      <c r="FB15" s="61">
        <v>531690</v>
      </c>
      <c r="FC15" s="147">
        <v>-142925</v>
      </c>
      <c r="FD15" s="61">
        <v>-511331</v>
      </c>
      <c r="FE15" s="61">
        <v>1294329</v>
      </c>
      <c r="FG15" s="61">
        <v>291866</v>
      </c>
      <c r="FH15" s="147">
        <v>-44281</v>
      </c>
      <c r="FI15" s="61">
        <v>-95917</v>
      </c>
      <c r="FJ15" s="61">
        <v>1294329</v>
      </c>
      <c r="FL15" s="144">
        <v>1266024</v>
      </c>
      <c r="FM15" s="346">
        <v>-90262</v>
      </c>
      <c r="FN15" s="144">
        <v>-1053469</v>
      </c>
      <c r="FO15" s="144">
        <v>1589823</v>
      </c>
      <c r="FQ15" s="144">
        <v>314649</v>
      </c>
      <c r="FR15" s="346">
        <v>-81322</v>
      </c>
      <c r="FS15" s="144">
        <v>-136788</v>
      </c>
      <c r="FT15" s="144">
        <v>1589823</v>
      </c>
      <c r="FV15" s="144">
        <v>951375</v>
      </c>
      <c r="FW15" s="346">
        <v>-8940</v>
      </c>
      <c r="FX15" s="144">
        <v>-916681</v>
      </c>
      <c r="FY15" s="144">
        <v>1589823</v>
      </c>
      <c r="GA15" s="144">
        <v>272589</v>
      </c>
      <c r="GB15" s="346">
        <v>-11217</v>
      </c>
      <c r="GC15" s="144">
        <v>-50515</v>
      </c>
      <c r="GD15" s="144">
        <v>1589823</v>
      </c>
      <c r="GG15" s="144">
        <v>678786</v>
      </c>
      <c r="GH15" s="346">
        <v>2277</v>
      </c>
      <c r="GI15" s="144">
        <v>-866166</v>
      </c>
      <c r="GJ15" s="144">
        <v>1589823</v>
      </c>
      <c r="GL15" s="144">
        <v>293543</v>
      </c>
      <c r="GM15" s="346">
        <v>-41474</v>
      </c>
      <c r="GN15" s="144">
        <v>-842790</v>
      </c>
      <c r="GO15" s="144">
        <v>1589823</v>
      </c>
      <c r="GQ15" s="144">
        <v>385243</v>
      </c>
      <c r="GR15" s="346">
        <v>43751</v>
      </c>
      <c r="GS15" s="144">
        <v>-23376</v>
      </c>
      <c r="GT15" s="144">
        <v>1589823</v>
      </c>
      <c r="GV15" s="144">
        <v>1541425</v>
      </c>
      <c r="GW15" s="346">
        <v>-83036</v>
      </c>
      <c r="GX15" s="144">
        <v>-211070</v>
      </c>
      <c r="GY15" s="144">
        <v>2085538</v>
      </c>
      <c r="HA15" s="341">
        <v>422958</v>
      </c>
      <c r="HB15" s="342">
        <v>-41352</v>
      </c>
      <c r="HC15" s="341">
        <v>-75834</v>
      </c>
      <c r="HD15" s="341">
        <v>2085538</v>
      </c>
      <c r="HF15" s="144">
        <v>1118467</v>
      </c>
      <c r="HG15" s="346">
        <v>-41684</v>
      </c>
      <c r="HH15" s="144">
        <v>-135236</v>
      </c>
      <c r="HI15" s="144">
        <v>2085538</v>
      </c>
      <c r="HK15" s="144">
        <v>336783</v>
      </c>
      <c r="HL15" s="346">
        <v>-36968</v>
      </c>
      <c r="HM15" s="144">
        <v>-69420</v>
      </c>
      <c r="HN15" s="144">
        <v>2085538</v>
      </c>
      <c r="HP15" s="156">
        <v>781684</v>
      </c>
      <c r="HQ15" s="183">
        <v>-4716</v>
      </c>
      <c r="HR15" s="156">
        <v>-65816</v>
      </c>
      <c r="HS15" s="156">
        <v>2085538</v>
      </c>
      <c r="HU15" s="156">
        <v>397591</v>
      </c>
      <c r="HV15" s="183">
        <v>24737</v>
      </c>
      <c r="HW15" s="156">
        <v>-6171</v>
      </c>
      <c r="HX15" s="156">
        <v>2085538</v>
      </c>
      <c r="HZ15" s="156">
        <v>384093</v>
      </c>
      <c r="IA15" s="183">
        <v>-29453</v>
      </c>
      <c r="IB15" s="156">
        <v>-59645</v>
      </c>
      <c r="IC15" s="156">
        <v>2085538</v>
      </c>
      <c r="IE15" s="156">
        <v>1311143</v>
      </c>
      <c r="IF15" s="156">
        <v>-82130</v>
      </c>
      <c r="IG15" s="156">
        <v>-205163</v>
      </c>
      <c r="IH15" s="156">
        <v>2069263</v>
      </c>
      <c r="IJ15" s="156">
        <v>423619</v>
      </c>
      <c r="IK15" s="183">
        <v>54528</v>
      </c>
      <c r="IL15" s="156">
        <v>23540</v>
      </c>
      <c r="IM15" s="156">
        <v>2069263</v>
      </c>
      <c r="IN15" s="157"/>
      <c r="IO15" s="156">
        <v>887524</v>
      </c>
      <c r="IP15" s="156">
        <v>-136658</v>
      </c>
      <c r="IQ15" s="156">
        <v>-228703</v>
      </c>
      <c r="IR15" s="156">
        <v>2069263</v>
      </c>
      <c r="IS15" s="156"/>
      <c r="IT15" s="156">
        <v>375392</v>
      </c>
      <c r="IU15" s="156">
        <v>32590</v>
      </c>
      <c r="IV15" s="156">
        <v>1833</v>
      </c>
      <c r="IW15" s="156">
        <v>2069263</v>
      </c>
      <c r="IX15" s="157"/>
      <c r="IY15" s="156">
        <v>512132</v>
      </c>
      <c r="IZ15" s="156">
        <v>-169248</v>
      </c>
      <c r="JA15" s="156">
        <v>-230536</v>
      </c>
      <c r="JB15" s="156">
        <v>2069263</v>
      </c>
      <c r="JC15" s="157"/>
      <c r="JD15" s="156">
        <f t="shared" ref="JD15:JF21" si="40">IY15-JI15</f>
        <v>257978</v>
      </c>
      <c r="JE15" s="156">
        <f t="shared" si="40"/>
        <v>-104490</v>
      </c>
      <c r="JF15" s="156">
        <f t="shared" si="40"/>
        <v>-127029</v>
      </c>
      <c r="JG15" s="156">
        <f>JL15</f>
        <v>2069263</v>
      </c>
      <c r="JH15" s="157"/>
      <c r="JI15" s="156">
        <v>254154</v>
      </c>
      <c r="JJ15" s="156">
        <v>-64758</v>
      </c>
      <c r="JK15" s="156">
        <v>-103507</v>
      </c>
      <c r="JL15" s="156">
        <v>2069263</v>
      </c>
      <c r="JM15" s="157"/>
      <c r="JN15" s="156">
        <v>1205944</v>
      </c>
      <c r="JO15" s="156">
        <v>9137</v>
      </c>
      <c r="JP15" s="156">
        <v>-104328</v>
      </c>
      <c r="JQ15" s="156">
        <v>1657407</v>
      </c>
      <c r="JR15" s="157"/>
      <c r="JS15" s="156">
        <v>331130</v>
      </c>
      <c r="JT15" s="156">
        <v>32369</v>
      </c>
      <c r="JU15" s="156">
        <v>3251</v>
      </c>
      <c r="JV15" s="156">
        <v>1657407</v>
      </c>
      <c r="JW15" s="157"/>
      <c r="JX15" s="156">
        <v>874814</v>
      </c>
      <c r="JY15" s="156">
        <v>-23232</v>
      </c>
      <c r="JZ15" s="156">
        <v>-107579</v>
      </c>
      <c r="KA15" s="156">
        <v>1657407</v>
      </c>
      <c r="KB15" s="157"/>
      <c r="KC15" s="156">
        <v>332863</v>
      </c>
      <c r="KD15" s="156">
        <v>134670</v>
      </c>
      <c r="KE15" s="156">
        <v>106686</v>
      </c>
      <c r="KF15" s="156">
        <v>1657407</v>
      </c>
      <c r="KG15" s="157"/>
      <c r="KH15" s="156">
        <v>541951</v>
      </c>
      <c r="KI15" s="156">
        <v>-157902</v>
      </c>
      <c r="KJ15" s="156">
        <v>-214265</v>
      </c>
      <c r="KK15" s="156">
        <v>1657407</v>
      </c>
      <c r="KL15" s="157"/>
      <c r="KM15" s="156">
        <v>273192</v>
      </c>
      <c r="KN15" s="156">
        <v>-113811</v>
      </c>
      <c r="KO15" s="156">
        <v>-142220</v>
      </c>
      <c r="KP15" s="156">
        <v>1657407</v>
      </c>
      <c r="KQ15" s="157"/>
      <c r="KR15" s="156">
        <v>268759</v>
      </c>
      <c r="KS15" s="156">
        <v>-44091</v>
      </c>
      <c r="KT15" s="156">
        <v>-72045</v>
      </c>
      <c r="KU15" s="156">
        <v>1657407</v>
      </c>
      <c r="KV15" s="157"/>
      <c r="KW15" s="156">
        <v>1194024</v>
      </c>
      <c r="KX15" s="156">
        <v>98420</v>
      </c>
      <c r="KY15" s="156">
        <v>-6829</v>
      </c>
      <c r="KZ15" s="156">
        <v>1742510</v>
      </c>
      <c r="LA15" s="163"/>
      <c r="LB15" s="156">
        <v>323181</v>
      </c>
      <c r="LC15" s="156">
        <v>14867</v>
      </c>
      <c r="LD15" s="156">
        <v>-12176</v>
      </c>
      <c r="LE15" s="156">
        <v>1742510</v>
      </c>
      <c r="LF15" s="163"/>
      <c r="LG15" s="156">
        <v>870843</v>
      </c>
      <c r="LH15" s="156">
        <v>83553</v>
      </c>
      <c r="LI15" s="156">
        <v>5347</v>
      </c>
      <c r="LJ15" s="156">
        <v>1742510</v>
      </c>
      <c r="LK15" s="157"/>
      <c r="LL15" s="156">
        <v>341431</v>
      </c>
      <c r="LM15" s="156">
        <v>55252</v>
      </c>
      <c r="LN15" s="156">
        <v>29132</v>
      </c>
      <c r="LO15" s="156">
        <v>1742510</v>
      </c>
      <c r="LP15" s="157"/>
      <c r="LQ15" s="156">
        <v>529412</v>
      </c>
      <c r="LR15" s="156">
        <v>28174</v>
      </c>
      <c r="LS15" s="156">
        <v>-23785</v>
      </c>
      <c r="LT15" s="156">
        <v>1742510</v>
      </c>
      <c r="LU15" s="157"/>
      <c r="LV15" s="156">
        <v>281247</v>
      </c>
      <c r="LW15" s="156">
        <v>8471</v>
      </c>
      <c r="LX15" s="156">
        <v>-16826</v>
      </c>
      <c r="LY15" s="156">
        <v>1742510</v>
      </c>
      <c r="LZ15" s="157"/>
      <c r="MA15" s="156">
        <v>248165</v>
      </c>
      <c r="MB15" s="156">
        <v>19703</v>
      </c>
      <c r="MC15" s="156">
        <v>-6959</v>
      </c>
      <c r="MD15" s="156">
        <v>1742510</v>
      </c>
      <c r="ME15" s="157"/>
      <c r="MF15" s="157"/>
      <c r="MG15" s="157"/>
      <c r="MH15" s="157"/>
      <c r="MI15" s="157"/>
      <c r="MJ15" s="157"/>
      <c r="MK15" s="157"/>
      <c r="ML15" s="157"/>
      <c r="MM15" s="157"/>
      <c r="MN15" s="157"/>
      <c r="MO15" s="157"/>
      <c r="MP15" s="157"/>
      <c r="MQ15" s="157"/>
      <c r="MR15" s="157"/>
      <c r="MS15" s="157"/>
      <c r="MT15" s="157"/>
      <c r="MU15" s="157"/>
      <c r="MV15" s="157"/>
      <c r="MW15" s="157"/>
      <c r="MX15" s="157"/>
      <c r="MY15" s="157"/>
      <c r="MZ15" s="157"/>
      <c r="NA15" s="157"/>
      <c r="NB15" s="157"/>
      <c r="NC15" s="157"/>
      <c r="ND15" s="157"/>
      <c r="NE15" s="157"/>
      <c r="NF15" s="157"/>
      <c r="NG15" s="157"/>
      <c r="NH15" s="157"/>
      <c r="NI15" s="157"/>
      <c r="NJ15" s="157"/>
      <c r="NK15" s="157"/>
      <c r="NL15" s="157"/>
      <c r="NM15" s="157"/>
      <c r="NN15" s="157"/>
      <c r="NO15" s="157"/>
      <c r="NP15" s="157"/>
      <c r="NQ15" s="157"/>
      <c r="NR15" s="157"/>
      <c r="NS15" s="157"/>
      <c r="NT15" s="157"/>
      <c r="NU15" s="157"/>
      <c r="NV15" s="157"/>
      <c r="NW15" s="157"/>
      <c r="NX15" s="157"/>
      <c r="NY15" s="157"/>
      <c r="NZ15" s="157"/>
      <c r="OA15" s="157"/>
      <c r="OB15" s="157"/>
      <c r="OC15" s="157"/>
      <c r="OD15" s="157"/>
      <c r="OE15" s="157"/>
      <c r="OF15" s="157"/>
      <c r="OG15" s="157"/>
      <c r="OH15" s="157"/>
      <c r="OI15" s="157"/>
      <c r="OJ15" s="157"/>
      <c r="OK15" s="157"/>
      <c r="OL15" s="157"/>
    </row>
    <row r="16" spans="1:402">
      <c r="A16" s="466" t="s">
        <v>584</v>
      </c>
      <c r="C16" s="610">
        <f>([3]segmenty!$B$47)*1000</f>
        <v>8189000</v>
      </c>
      <c r="D16" s="610">
        <f>([3]segmenty!$B$72)*1000</f>
        <v>876000</v>
      </c>
      <c r="E16" s="610">
        <f>([3]segmenty!$B$69)*1000</f>
        <v>605000</v>
      </c>
      <c r="F16" s="610">
        <f>([3]segmenty!$B$63)*1000</f>
        <v>7018000</v>
      </c>
      <c r="H16" s="610">
        <f>('[3]segmenty 3 m-ce'!$B$100)*1000</f>
        <v>2455000</v>
      </c>
      <c r="I16" s="610">
        <f>('[3]segmenty 3 m-ce'!$B$115)*1000</f>
        <v>118000</v>
      </c>
      <c r="J16" s="610">
        <f>('[3]segmenty 3 m-ce'!$B$112)*1000</f>
        <v>25000</v>
      </c>
      <c r="K16" s="610">
        <f t="shared" ref="K16:K21" si="41">F16</f>
        <v>7018000</v>
      </c>
      <c r="M16" s="610">
        <v>5734000</v>
      </c>
      <c r="N16" s="610">
        <v>758000</v>
      </c>
      <c r="O16" s="610">
        <v>580000</v>
      </c>
      <c r="P16" s="610">
        <v>7018000</v>
      </c>
      <c r="R16" s="610">
        <v>2444000</v>
      </c>
      <c r="S16" s="610">
        <v>427000</v>
      </c>
      <c r="T16" s="610">
        <v>334000</v>
      </c>
      <c r="U16" s="610">
        <f t="shared" ref="U16:U21" si="42">P16</f>
        <v>7018000</v>
      </c>
      <c r="W16" s="610">
        <f>[4]segmenty!$B$47*1000</f>
        <v>4030000</v>
      </c>
      <c r="X16" s="610">
        <f>[4]segmenty!$B$72*1000</f>
        <v>458000</v>
      </c>
      <c r="Y16" s="610">
        <f>[4]segmenty!$B$69*1000</f>
        <v>346000</v>
      </c>
      <c r="Z16" s="610">
        <f>[4]segmenty!$B$63*1000</f>
        <v>10023000</v>
      </c>
      <c r="AB16" s="610">
        <f>([5]segmenty!$B$48)*1000</f>
        <v>11126000</v>
      </c>
      <c r="AC16" s="610">
        <f>([5]segmenty!$B$73)*1000</f>
        <v>-779000</v>
      </c>
      <c r="AD16" s="610">
        <f>([5]segmenty!$B$70)*1000</f>
        <v>-1307000</v>
      </c>
      <c r="AE16" s="610">
        <f>([5]segmenty!$B$64)*1000</f>
        <v>10157000</v>
      </c>
      <c r="AG16" s="610">
        <f t="shared" ref="AG16:AI22" si="43">AB16-AL16</f>
        <v>3454000</v>
      </c>
      <c r="AH16" s="610">
        <f t="shared" si="43"/>
        <v>-111000</v>
      </c>
      <c r="AI16" s="610">
        <f t="shared" si="43"/>
        <v>-304000</v>
      </c>
      <c r="AJ16" s="610">
        <f t="shared" ref="AJ16:AJ21" si="44">AE16</f>
        <v>10157000</v>
      </c>
      <c r="AL16" s="610">
        <f>([6]segmenty!$B$48)*1000</f>
        <v>7672000</v>
      </c>
      <c r="AM16" s="610">
        <f>([6]segmenty!$B$73)*1000</f>
        <v>-668000</v>
      </c>
      <c r="AN16" s="610">
        <f>([6]segmenty!$B$70)*1000</f>
        <v>-1003000</v>
      </c>
      <c r="AO16" s="610">
        <f>([6]segmenty!$B$64)*1000</f>
        <v>10157000</v>
      </c>
      <c r="AQ16" s="610">
        <f>('[6]segmenty 3 m-ce PREZ'!$B$39)*1000</f>
        <v>2253000</v>
      </c>
      <c r="AR16" s="610">
        <f>('[6]segmenty 3 m-ce PREZ'!$B$46)*1000</f>
        <v>-638000</v>
      </c>
      <c r="AS16" s="610">
        <f>('[6]segmenty 3 m-ce PREZ'!$B$42)*1000</f>
        <v>-751000</v>
      </c>
      <c r="AT16" s="610">
        <f t="shared" ref="AT16:AT21" si="45">AO16</f>
        <v>10157000</v>
      </c>
      <c r="AV16" s="610">
        <f>([7]segmenty!$B$48)*1000</f>
        <v>5419000</v>
      </c>
      <c r="AW16" s="610">
        <f>([7]segmenty!$B$72)*1000</f>
        <v>-30000</v>
      </c>
      <c r="AX16" s="610">
        <f>([7]segmenty!$B$69)*1000</f>
        <v>-252000</v>
      </c>
      <c r="AY16" s="610">
        <f>([7]segmenty!$B$63)*1000</f>
        <v>10157000</v>
      </c>
      <c r="BA16" s="610">
        <f>('[7]segmenty 3 m-ce'!$B$101)*1000</f>
        <v>2363000</v>
      </c>
      <c r="BB16" s="610">
        <f>('[7]segmenty 3 m-ce'!$B$115)*1000</f>
        <v>-925000</v>
      </c>
      <c r="BC16" s="610">
        <f>('[7]segmenty 3 m-ce'!$B$112)*1000</f>
        <v>-1038000</v>
      </c>
      <c r="BD16" s="610">
        <f t="shared" ref="BD16:BD21" si="46">BI16</f>
        <v>10157000</v>
      </c>
      <c r="BF16" s="610">
        <f>[8]segmenty!$B$48*1000</f>
        <v>3056000</v>
      </c>
      <c r="BG16" s="610">
        <f>[8]segmenty!$B$71*1000</f>
        <v>895000</v>
      </c>
      <c r="BH16" s="610">
        <f>[8]segmenty!$B$69*1000</f>
        <v>786000</v>
      </c>
      <c r="BI16" s="610">
        <f>[8]segmenty!$B$63*1000</f>
        <v>10157000</v>
      </c>
      <c r="BK16" s="610">
        <f t="shared" ref="BK16:BM21" si="47">BP16-BZ16</f>
        <v>3401000</v>
      </c>
      <c r="BL16" s="610">
        <f t="shared" si="47"/>
        <v>56000</v>
      </c>
      <c r="BM16" s="610">
        <f t="shared" si="47"/>
        <v>-70000</v>
      </c>
      <c r="BN16" s="610">
        <f t="shared" ref="BN16:BN22" si="48">BS16</f>
        <v>8849000</v>
      </c>
      <c r="BP16" s="610">
        <v>9819000</v>
      </c>
      <c r="BQ16" s="610">
        <v>1375000</v>
      </c>
      <c r="BR16" s="610">
        <v>-25000</v>
      </c>
      <c r="BS16" s="610">
        <v>8849000</v>
      </c>
      <c r="BU16" s="467">
        <v>2359000</v>
      </c>
      <c r="BV16" s="467">
        <v>311000</v>
      </c>
      <c r="BW16" s="467">
        <v>204000</v>
      </c>
      <c r="BX16" s="467">
        <f t="shared" si="22"/>
        <v>8849000</v>
      </c>
      <c r="BZ16" s="467">
        <v>6418000</v>
      </c>
      <c r="CA16" s="467">
        <v>1319000</v>
      </c>
      <c r="CB16" s="467">
        <v>45000</v>
      </c>
      <c r="CC16" s="467">
        <v>8849000</v>
      </c>
      <c r="CE16" s="467">
        <f t="shared" si="23"/>
        <v>1751000</v>
      </c>
      <c r="CF16" s="467">
        <f t="shared" si="24"/>
        <v>322000</v>
      </c>
      <c r="CG16" s="467">
        <f t="shared" si="25"/>
        <v>-729000</v>
      </c>
      <c r="CH16" s="467">
        <v>8849000</v>
      </c>
      <c r="CJ16" s="467">
        <v>4059000</v>
      </c>
      <c r="CK16" s="467">
        <v>1008000</v>
      </c>
      <c r="CL16" s="467">
        <v>-159000</v>
      </c>
      <c r="CM16" s="467">
        <v>8849000</v>
      </c>
      <c r="CO16" s="467">
        <v>2308000</v>
      </c>
      <c r="CP16" s="467">
        <v>686000</v>
      </c>
      <c r="CQ16" s="467">
        <v>570000</v>
      </c>
      <c r="CR16" s="467">
        <v>8849000</v>
      </c>
      <c r="CT16" s="467">
        <f t="shared" si="26"/>
        <v>1505971</v>
      </c>
      <c r="CU16" s="467">
        <f t="shared" si="27"/>
        <v>206057</v>
      </c>
      <c r="CV16" s="467">
        <f t="shared" si="28"/>
        <v>-2463464</v>
      </c>
      <c r="CW16" s="467">
        <f t="shared" si="29"/>
        <v>10053831.77825</v>
      </c>
      <c r="CY16" s="467">
        <v>4522000</v>
      </c>
      <c r="CZ16" s="467">
        <v>344000</v>
      </c>
      <c r="DA16" s="467">
        <v>-3238000</v>
      </c>
      <c r="DB16" s="467">
        <v>10053831.77825</v>
      </c>
      <c r="DD16" s="467">
        <f t="shared" si="30"/>
        <v>936871</v>
      </c>
      <c r="DE16" s="467">
        <f t="shared" si="30"/>
        <v>19921</v>
      </c>
      <c r="DF16" s="467">
        <f t="shared" si="30"/>
        <v>-77241</v>
      </c>
      <c r="DG16" s="467">
        <f t="shared" si="31"/>
        <v>10054581.77825</v>
      </c>
      <c r="DI16" s="467">
        <v>3016029</v>
      </c>
      <c r="DJ16" s="467">
        <v>137943</v>
      </c>
      <c r="DK16" s="467">
        <v>-774536</v>
      </c>
      <c r="DL16" s="467">
        <v>10054581.77825</v>
      </c>
      <c r="DN16" s="467">
        <f t="shared" si="32"/>
        <v>924200</v>
      </c>
      <c r="DO16" s="467">
        <f t="shared" si="32"/>
        <v>48538</v>
      </c>
      <c r="DP16" s="467">
        <f t="shared" si="32"/>
        <v>-684572</v>
      </c>
      <c r="DQ16" s="467">
        <f t="shared" si="33"/>
        <v>10054581.77825</v>
      </c>
      <c r="DS16" s="467">
        <v>2079158</v>
      </c>
      <c r="DT16" s="467">
        <v>118022</v>
      </c>
      <c r="DU16" s="467">
        <v>-697295</v>
      </c>
      <c r="DV16" s="467">
        <v>10054581.77825</v>
      </c>
      <c r="DX16" s="467">
        <v>1154958</v>
      </c>
      <c r="DY16" s="467">
        <v>69484</v>
      </c>
      <c r="DZ16" s="467">
        <v>-12723</v>
      </c>
      <c r="EA16" s="467">
        <v>10054581.77825</v>
      </c>
      <c r="EC16" s="467">
        <f t="shared" si="34"/>
        <v>846540</v>
      </c>
      <c r="ED16" s="467">
        <f t="shared" si="35"/>
        <v>64625</v>
      </c>
      <c r="EE16" s="467">
        <f t="shared" si="36"/>
        <v>-723565</v>
      </c>
      <c r="EF16" s="467">
        <f t="shared" si="37"/>
        <v>10010983</v>
      </c>
      <c r="EH16" s="467">
        <v>3428637</v>
      </c>
      <c r="EI16" s="467">
        <v>438114</v>
      </c>
      <c r="EJ16" s="467">
        <v>-509635</v>
      </c>
      <c r="EK16" s="467">
        <v>10010983</v>
      </c>
      <c r="EM16" s="467">
        <v>860411</v>
      </c>
      <c r="EN16" s="467">
        <v>94665</v>
      </c>
      <c r="EO16" s="467">
        <v>42274</v>
      </c>
      <c r="EP16" s="467">
        <f t="shared" si="38"/>
        <v>10010983</v>
      </c>
      <c r="ER16" s="467">
        <v>2582097</v>
      </c>
      <c r="ES16" s="467">
        <v>373489</v>
      </c>
      <c r="ET16" s="467">
        <v>213930</v>
      </c>
      <c r="EU16" s="467">
        <v>10010983</v>
      </c>
      <c r="EW16" s="464">
        <f t="shared" si="39"/>
        <v>818613</v>
      </c>
      <c r="EX16" s="465">
        <f t="shared" si="39"/>
        <v>69009</v>
      </c>
      <c r="EY16" s="464">
        <f t="shared" si="39"/>
        <v>15013</v>
      </c>
      <c r="EZ16" s="464">
        <v>10809128</v>
      </c>
      <c r="FB16" s="464">
        <v>1721686</v>
      </c>
      <c r="FC16" s="465">
        <v>280877</v>
      </c>
      <c r="FD16" s="464">
        <v>173709</v>
      </c>
      <c r="FE16" s="464">
        <v>10809128</v>
      </c>
      <c r="FG16" s="464">
        <v>903073</v>
      </c>
      <c r="FH16" s="465">
        <v>211868</v>
      </c>
      <c r="FI16" s="464">
        <v>158696</v>
      </c>
      <c r="FJ16" s="464">
        <v>13461532</v>
      </c>
      <c r="FK16" s="5"/>
      <c r="FL16" s="144">
        <v>4638494</v>
      </c>
      <c r="FM16" s="346">
        <v>731372</v>
      </c>
      <c r="FN16" s="144">
        <v>196658</v>
      </c>
      <c r="FO16" s="144">
        <v>12712861</v>
      </c>
      <c r="FQ16" s="144">
        <v>1369745</v>
      </c>
      <c r="FR16" s="346">
        <v>82432</v>
      </c>
      <c r="FS16" s="144">
        <v>-494471</v>
      </c>
      <c r="FT16" s="144">
        <v>12712861</v>
      </c>
      <c r="FV16" s="144">
        <v>3268749</v>
      </c>
      <c r="FW16" s="346">
        <v>648940</v>
      </c>
      <c r="FX16" s="144">
        <v>691129</v>
      </c>
      <c r="FY16" s="144">
        <v>12712861</v>
      </c>
      <c r="GA16" s="144">
        <v>1149397</v>
      </c>
      <c r="GB16" s="346">
        <v>57190</v>
      </c>
      <c r="GC16" s="144">
        <v>-49720</v>
      </c>
      <c r="GD16" s="144">
        <v>12712861</v>
      </c>
      <c r="GG16" s="144">
        <v>2119352</v>
      </c>
      <c r="GH16" s="346">
        <v>591750</v>
      </c>
      <c r="GI16" s="144">
        <v>740849</v>
      </c>
      <c r="GJ16" s="144">
        <v>12712861</v>
      </c>
      <c r="GL16" s="144">
        <v>947169</v>
      </c>
      <c r="GM16" s="346">
        <v>126438</v>
      </c>
      <c r="GN16" s="144">
        <v>369183</v>
      </c>
      <c r="GO16" s="144">
        <v>12712861</v>
      </c>
      <c r="GQ16" s="144">
        <v>1172183</v>
      </c>
      <c r="GR16" s="346">
        <v>465312</v>
      </c>
      <c r="GS16" s="144">
        <v>371666</v>
      </c>
      <c r="GT16" s="144">
        <v>12712861</v>
      </c>
      <c r="GV16" s="144">
        <v>4537002</v>
      </c>
      <c r="GW16" s="346">
        <v>537024</v>
      </c>
      <c r="GX16" s="144">
        <v>89645</v>
      </c>
      <c r="GY16" s="144">
        <v>11798018</v>
      </c>
      <c r="HA16" s="341">
        <v>1209501</v>
      </c>
      <c r="HB16" s="342">
        <v>81095</v>
      </c>
      <c r="HC16" s="341">
        <v>-24074</v>
      </c>
      <c r="HD16" s="341">
        <v>11798018</v>
      </c>
      <c r="HF16" s="144">
        <v>3327501</v>
      </c>
      <c r="HG16" s="346">
        <v>455929</v>
      </c>
      <c r="HH16" s="144">
        <v>113719</v>
      </c>
      <c r="HI16" s="144">
        <v>11798018</v>
      </c>
      <c r="HK16" s="144">
        <v>1042672</v>
      </c>
      <c r="HL16" s="346">
        <v>91128</v>
      </c>
      <c r="HM16" s="144">
        <v>-25053</v>
      </c>
      <c r="HN16" s="144">
        <v>11798018</v>
      </c>
      <c r="HP16" s="156">
        <v>2284829</v>
      </c>
      <c r="HQ16" s="183">
        <v>364801</v>
      </c>
      <c r="HR16" s="156">
        <v>138772</v>
      </c>
      <c r="HS16" s="156">
        <v>11798018</v>
      </c>
      <c r="HU16" s="156">
        <v>1064128</v>
      </c>
      <c r="HV16" s="183">
        <v>136894</v>
      </c>
      <c r="HW16" s="156">
        <v>9273</v>
      </c>
      <c r="HX16" s="156">
        <v>11798018</v>
      </c>
      <c r="HZ16" s="156">
        <v>1220701</v>
      </c>
      <c r="IA16" s="183">
        <v>227907</v>
      </c>
      <c r="IB16" s="156">
        <v>129499</v>
      </c>
      <c r="IC16" s="156">
        <v>11798018</v>
      </c>
      <c r="IE16" s="156">
        <v>4356101</v>
      </c>
      <c r="IF16" s="156">
        <v>545311</v>
      </c>
      <c r="IG16" s="156">
        <v>-752813</v>
      </c>
      <c r="IH16" s="156">
        <v>10874288</v>
      </c>
      <c r="IJ16" s="156">
        <v>1112410</v>
      </c>
      <c r="IK16" s="183">
        <v>98202</v>
      </c>
      <c r="IL16" s="156">
        <v>-182972</v>
      </c>
      <c r="IM16" s="156">
        <v>10874288</v>
      </c>
      <c r="IN16" s="157"/>
      <c r="IO16" s="156">
        <v>3243691</v>
      </c>
      <c r="IP16" s="156">
        <v>447109</v>
      </c>
      <c r="IQ16" s="156">
        <v>-569841</v>
      </c>
      <c r="IR16" s="156">
        <v>10412940</v>
      </c>
      <c r="IS16" s="156"/>
      <c r="IT16" s="156">
        <v>901057</v>
      </c>
      <c r="IU16" s="156">
        <v>93148</v>
      </c>
      <c r="IV16" s="156">
        <v>-11530</v>
      </c>
      <c r="IW16" s="156">
        <v>10412940</v>
      </c>
      <c r="IX16" s="157"/>
      <c r="IY16" s="156">
        <v>2342634</v>
      </c>
      <c r="IZ16" s="156">
        <v>353961</v>
      </c>
      <c r="JA16" s="156">
        <v>-558311</v>
      </c>
      <c r="JB16" s="156">
        <v>10874288</v>
      </c>
      <c r="JC16" s="157"/>
      <c r="JD16" s="156">
        <f t="shared" si="40"/>
        <v>1070810</v>
      </c>
      <c r="JE16" s="156">
        <f t="shared" si="40"/>
        <v>162812</v>
      </c>
      <c r="JF16" s="156">
        <f t="shared" si="40"/>
        <v>-647533</v>
      </c>
      <c r="JG16" s="156">
        <f>JL16</f>
        <v>10874288</v>
      </c>
      <c r="JH16" s="157"/>
      <c r="JI16" s="156">
        <v>1271824</v>
      </c>
      <c r="JJ16" s="156">
        <v>191149</v>
      </c>
      <c r="JK16" s="156">
        <v>89222</v>
      </c>
      <c r="JL16" s="156">
        <v>10874288</v>
      </c>
      <c r="JM16" s="157"/>
      <c r="JN16" s="156">
        <v>5376280</v>
      </c>
      <c r="JO16" s="156">
        <v>754751</v>
      </c>
      <c r="JP16" s="156">
        <v>-3477076</v>
      </c>
      <c r="JQ16" s="156">
        <v>10788413</v>
      </c>
      <c r="JR16" s="157"/>
      <c r="JS16" s="156">
        <v>1464821</v>
      </c>
      <c r="JT16" s="156">
        <v>190712</v>
      </c>
      <c r="JU16" s="156">
        <v>-3607565</v>
      </c>
      <c r="JV16" s="156">
        <v>10788413</v>
      </c>
      <c r="JW16" s="157"/>
      <c r="JX16" s="156">
        <v>3911459</v>
      </c>
      <c r="JY16" s="156">
        <v>564039</v>
      </c>
      <c r="JZ16" s="156">
        <v>130489</v>
      </c>
      <c r="KA16" s="156">
        <v>10788413</v>
      </c>
      <c r="KB16" s="157"/>
      <c r="KC16" s="156">
        <v>1164371</v>
      </c>
      <c r="KD16" s="156">
        <v>97637</v>
      </c>
      <c r="KE16" s="156">
        <v>-51447</v>
      </c>
      <c r="KF16" s="156">
        <v>10788413</v>
      </c>
      <c r="KG16" s="157"/>
      <c r="KH16" s="156">
        <v>2747088</v>
      </c>
      <c r="KI16" s="156">
        <v>466402</v>
      </c>
      <c r="KJ16" s="156">
        <v>181936</v>
      </c>
      <c r="KK16" s="156">
        <v>10788413</v>
      </c>
      <c r="KL16" s="157"/>
      <c r="KM16" s="156">
        <v>1184017</v>
      </c>
      <c r="KN16" s="156">
        <v>188031</v>
      </c>
      <c r="KO16" s="156">
        <v>44376</v>
      </c>
      <c r="KP16" s="156">
        <v>10788413</v>
      </c>
      <c r="KQ16" s="157"/>
      <c r="KR16" s="156">
        <v>1563071</v>
      </c>
      <c r="KS16" s="156">
        <v>278371</v>
      </c>
      <c r="KT16" s="156">
        <v>137560</v>
      </c>
      <c r="KU16" s="156">
        <v>10788413</v>
      </c>
      <c r="KV16" s="157"/>
      <c r="KW16" s="156">
        <v>4963651</v>
      </c>
      <c r="KX16" s="156">
        <v>792803</v>
      </c>
      <c r="KY16" s="156">
        <v>72093</v>
      </c>
      <c r="KZ16" s="156">
        <v>13160048</v>
      </c>
      <c r="LA16" s="163"/>
      <c r="LB16" s="156">
        <v>1379772.8041700004</v>
      </c>
      <c r="LC16" s="156">
        <v>258487</v>
      </c>
      <c r="LD16" s="156">
        <v>72848</v>
      </c>
      <c r="LE16" s="156">
        <v>13160048</v>
      </c>
      <c r="LF16" s="163"/>
      <c r="LG16" s="156">
        <v>3583878.1958299996</v>
      </c>
      <c r="LH16" s="156">
        <v>534316</v>
      </c>
      <c r="LI16" s="156">
        <v>-755</v>
      </c>
      <c r="LJ16" s="156">
        <v>13160048</v>
      </c>
      <c r="LK16" s="157"/>
      <c r="LL16" s="156">
        <v>1184469.1958299996</v>
      </c>
      <c r="LM16" s="156">
        <v>135550</v>
      </c>
      <c r="LN16" s="156">
        <v>-39176</v>
      </c>
      <c r="LO16" s="156">
        <v>13160048</v>
      </c>
      <c r="LP16" s="157"/>
      <c r="LQ16" s="156">
        <v>2320273.9343399997</v>
      </c>
      <c r="LR16" s="156">
        <v>388933</v>
      </c>
      <c r="LS16" s="156">
        <v>38421</v>
      </c>
      <c r="LT16" s="156">
        <v>13160048</v>
      </c>
      <c r="LU16" s="157"/>
      <c r="LV16" s="156">
        <v>1067907.9343399997</v>
      </c>
      <c r="LW16" s="156">
        <v>136494</v>
      </c>
      <c r="LX16" s="156">
        <v>-38190</v>
      </c>
      <c r="LY16" s="156">
        <v>13160048</v>
      </c>
      <c r="LZ16" s="157"/>
      <c r="MA16" s="156">
        <v>1252366</v>
      </c>
      <c r="MB16" s="156">
        <v>252439</v>
      </c>
      <c r="MC16" s="156">
        <v>76611</v>
      </c>
      <c r="MD16" s="156">
        <v>13160048</v>
      </c>
      <c r="ME16" s="157"/>
      <c r="MF16" s="157"/>
      <c r="MG16" s="157"/>
      <c r="MH16" s="157"/>
      <c r="MI16" s="157"/>
      <c r="MJ16" s="157"/>
      <c r="MK16" s="157"/>
      <c r="ML16" s="157"/>
      <c r="MM16" s="157"/>
      <c r="MN16" s="157"/>
      <c r="MO16" s="157"/>
      <c r="MP16" s="157"/>
      <c r="MQ16" s="157"/>
      <c r="MR16" s="157"/>
      <c r="MS16" s="157"/>
      <c r="MT16" s="157"/>
      <c r="MU16" s="157"/>
      <c r="MV16" s="157"/>
      <c r="MW16" s="157"/>
      <c r="MX16" s="157"/>
      <c r="MY16" s="157"/>
      <c r="MZ16" s="157"/>
      <c r="NA16" s="157"/>
      <c r="NB16" s="157"/>
      <c r="NC16" s="157"/>
      <c r="ND16" s="157"/>
      <c r="NE16" s="157"/>
      <c r="NF16" s="157"/>
      <c r="NG16" s="157"/>
      <c r="NH16" s="157"/>
      <c r="NI16" s="157"/>
      <c r="NJ16" s="157"/>
      <c r="NK16" s="157"/>
      <c r="NL16" s="157"/>
      <c r="NM16" s="157"/>
      <c r="NN16" s="157"/>
      <c r="NO16" s="157"/>
      <c r="NP16" s="157"/>
      <c r="NQ16" s="157"/>
      <c r="NR16" s="157"/>
      <c r="NS16" s="157"/>
      <c r="NT16" s="157"/>
      <c r="NU16" s="157"/>
      <c r="NV16" s="157"/>
      <c r="NW16" s="157"/>
      <c r="NX16" s="157"/>
      <c r="NY16" s="157"/>
      <c r="NZ16" s="157"/>
      <c r="OA16" s="157"/>
      <c r="OB16" s="157"/>
      <c r="OC16" s="157"/>
      <c r="OD16" s="157"/>
      <c r="OE16" s="157"/>
      <c r="OF16" s="157"/>
      <c r="OG16" s="157"/>
      <c r="OH16" s="157"/>
      <c r="OI16" s="157"/>
      <c r="OJ16" s="157"/>
      <c r="OK16" s="157"/>
      <c r="OL16" s="157"/>
    </row>
    <row r="17" spans="1:402">
      <c r="A17" s="466" t="s">
        <v>25</v>
      </c>
      <c r="C17" s="610">
        <f>([3]segmenty!$C$47)*1000</f>
        <v>1664000</v>
      </c>
      <c r="D17" s="610">
        <f>([3]segmenty!$C$72)*1000</f>
        <v>221000</v>
      </c>
      <c r="E17" s="610">
        <f>([3]segmenty!$C$69)*1000</f>
        <v>140000</v>
      </c>
      <c r="F17" s="610">
        <f>([3]segmenty!$C$63)*1000</f>
        <v>2995000</v>
      </c>
      <c r="H17" s="610">
        <f>('[3]segmenty 3 m-ce'!$C$100)*1000</f>
        <v>278000</v>
      </c>
      <c r="I17" s="610">
        <f>('[3]segmenty 3 m-ce'!$C$115)*1000</f>
        <v>16000</v>
      </c>
      <c r="J17" s="610">
        <f>('[3]segmenty 3 m-ce'!$C$112)*1000</f>
        <v>-11000</v>
      </c>
      <c r="K17" s="610">
        <f t="shared" si="41"/>
        <v>2995000</v>
      </c>
      <c r="M17" s="610">
        <v>1386000</v>
      </c>
      <c r="N17" s="610">
        <v>205000</v>
      </c>
      <c r="O17" s="610">
        <v>151000</v>
      </c>
      <c r="P17" s="610">
        <f>2995000</f>
        <v>2995000</v>
      </c>
      <c r="R17" s="610">
        <v>502000</v>
      </c>
      <c r="S17" s="610">
        <v>73000</v>
      </c>
      <c r="T17" s="610">
        <v>46000</v>
      </c>
      <c r="U17" s="610">
        <f t="shared" si="42"/>
        <v>2995000</v>
      </c>
      <c r="W17" s="610"/>
      <c r="X17" s="610"/>
      <c r="Y17" s="610"/>
      <c r="Z17" s="610"/>
      <c r="AB17" s="610"/>
      <c r="AC17" s="610"/>
      <c r="AD17" s="610"/>
      <c r="AE17" s="610"/>
      <c r="AG17" s="610"/>
      <c r="AH17" s="610"/>
      <c r="AI17" s="610"/>
      <c r="AJ17" s="610"/>
      <c r="AL17" s="610"/>
      <c r="AM17" s="610"/>
      <c r="AN17" s="610"/>
      <c r="AO17" s="610"/>
      <c r="AQ17" s="610"/>
      <c r="AR17" s="610"/>
      <c r="AS17" s="610"/>
      <c r="AT17" s="610"/>
      <c r="AV17" s="610"/>
      <c r="AW17" s="610"/>
      <c r="AX17" s="610"/>
      <c r="AY17" s="610"/>
      <c r="BA17" s="610"/>
      <c r="BB17" s="610"/>
      <c r="BC17" s="610"/>
      <c r="BD17" s="610"/>
      <c r="BF17" s="610"/>
      <c r="BG17" s="610"/>
      <c r="BH17" s="610"/>
      <c r="BI17" s="610"/>
      <c r="BK17" s="610"/>
      <c r="BL17" s="610"/>
      <c r="BM17" s="610"/>
      <c r="BN17" s="610"/>
      <c r="BP17" s="610"/>
      <c r="BQ17" s="610"/>
      <c r="BR17" s="610"/>
      <c r="BS17" s="610"/>
      <c r="BU17" s="467"/>
      <c r="BV17" s="467"/>
      <c r="BW17" s="467"/>
      <c r="BX17" s="467"/>
      <c r="BZ17" s="467"/>
      <c r="CA17" s="467"/>
      <c r="CB17" s="467"/>
      <c r="CC17" s="467"/>
      <c r="CE17" s="467"/>
      <c r="CF17" s="467"/>
      <c r="CG17" s="467"/>
      <c r="CH17" s="467"/>
      <c r="CJ17" s="467"/>
      <c r="CK17" s="467"/>
      <c r="CL17" s="467"/>
      <c r="CM17" s="467"/>
      <c r="CO17" s="467"/>
      <c r="CP17" s="467"/>
      <c r="CQ17" s="467"/>
      <c r="CR17" s="467"/>
      <c r="CT17" s="467"/>
      <c r="CU17" s="467"/>
      <c r="CV17" s="467"/>
      <c r="CW17" s="467"/>
      <c r="CY17" s="467"/>
      <c r="CZ17" s="467"/>
      <c r="DA17" s="467"/>
      <c r="DB17" s="467"/>
      <c r="DD17" s="467"/>
      <c r="DE17" s="467"/>
      <c r="DF17" s="467"/>
      <c r="DG17" s="467"/>
      <c r="DI17" s="467"/>
      <c r="DJ17" s="467"/>
      <c r="DK17" s="467"/>
      <c r="DL17" s="467"/>
      <c r="DN17" s="467"/>
      <c r="DO17" s="467"/>
      <c r="DP17" s="467"/>
      <c r="DQ17" s="467"/>
      <c r="DS17" s="467"/>
      <c r="DT17" s="467"/>
      <c r="DU17" s="467"/>
      <c r="DV17" s="467"/>
      <c r="DX17" s="467"/>
      <c r="DY17" s="467"/>
      <c r="DZ17" s="467"/>
      <c r="EA17" s="467"/>
      <c r="EC17" s="467"/>
      <c r="ED17" s="467"/>
      <c r="EE17" s="467"/>
      <c r="EF17" s="467"/>
      <c r="EH17" s="467"/>
      <c r="EI17" s="467"/>
      <c r="EJ17" s="467"/>
      <c r="EK17" s="467"/>
      <c r="EM17" s="467"/>
      <c r="EN17" s="467"/>
      <c r="EO17" s="467"/>
      <c r="EP17" s="467"/>
      <c r="ER17" s="467"/>
      <c r="ES17" s="467"/>
      <c r="ET17" s="467"/>
      <c r="EU17" s="467"/>
      <c r="EW17" s="464"/>
      <c r="EX17" s="465"/>
      <c r="EY17" s="464"/>
      <c r="EZ17" s="464"/>
      <c r="FB17" s="464"/>
      <c r="FC17" s="465"/>
      <c r="FD17" s="464"/>
      <c r="FE17" s="464"/>
      <c r="FG17" s="464"/>
      <c r="FH17" s="465"/>
      <c r="FI17" s="464"/>
      <c r="FJ17" s="464"/>
      <c r="FK17" s="5"/>
      <c r="FL17" s="144"/>
      <c r="FM17" s="346"/>
      <c r="FN17" s="144"/>
      <c r="FO17" s="144"/>
      <c r="FQ17" s="144"/>
      <c r="FR17" s="346"/>
      <c r="FS17" s="144"/>
      <c r="FT17" s="144"/>
      <c r="FV17" s="144"/>
      <c r="FW17" s="346"/>
      <c r="FX17" s="144"/>
      <c r="FY17" s="144"/>
      <c r="GA17" s="144"/>
      <c r="GB17" s="346"/>
      <c r="GC17" s="144"/>
      <c r="GD17" s="144"/>
      <c r="GG17" s="144"/>
      <c r="GH17" s="346"/>
      <c r="GI17" s="144"/>
      <c r="GJ17" s="144"/>
      <c r="GL17" s="144"/>
      <c r="GM17" s="346"/>
      <c r="GN17" s="144"/>
      <c r="GO17" s="144"/>
      <c r="GQ17" s="144"/>
      <c r="GR17" s="346"/>
      <c r="GS17" s="144"/>
      <c r="GT17" s="144"/>
      <c r="GV17" s="144"/>
      <c r="GW17" s="346"/>
      <c r="GX17" s="144"/>
      <c r="GY17" s="144"/>
      <c r="HA17" s="341"/>
      <c r="HB17" s="342"/>
      <c r="HC17" s="341"/>
      <c r="HD17" s="341"/>
      <c r="HF17" s="144"/>
      <c r="HG17" s="346"/>
      <c r="HH17" s="144"/>
      <c r="HI17" s="144"/>
      <c r="HK17" s="144"/>
      <c r="HL17" s="346"/>
      <c r="HM17" s="144"/>
      <c r="HN17" s="144"/>
      <c r="HP17" s="156"/>
      <c r="HQ17" s="183"/>
      <c r="HR17" s="156"/>
      <c r="HS17" s="156"/>
      <c r="HU17" s="156"/>
      <c r="HV17" s="183"/>
      <c r="HW17" s="156"/>
      <c r="HX17" s="156"/>
      <c r="HZ17" s="156"/>
      <c r="IA17" s="183"/>
      <c r="IB17" s="156"/>
      <c r="IC17" s="156"/>
      <c r="IE17" s="156"/>
      <c r="IF17" s="156"/>
      <c r="IG17" s="156"/>
      <c r="IH17" s="156"/>
      <c r="IJ17" s="156"/>
      <c r="IK17" s="183"/>
      <c r="IL17" s="156"/>
      <c r="IM17" s="156"/>
      <c r="IN17" s="157"/>
      <c r="IO17" s="156"/>
      <c r="IP17" s="156"/>
      <c r="IQ17" s="156"/>
      <c r="IR17" s="156"/>
      <c r="IS17" s="156"/>
      <c r="IT17" s="156"/>
      <c r="IU17" s="156"/>
      <c r="IV17" s="156"/>
      <c r="IW17" s="156"/>
      <c r="IX17" s="157"/>
      <c r="IY17" s="156"/>
      <c r="IZ17" s="156"/>
      <c r="JA17" s="156"/>
      <c r="JB17" s="156"/>
      <c r="JC17" s="157"/>
      <c r="JD17" s="156"/>
      <c r="JE17" s="156"/>
      <c r="JF17" s="156"/>
      <c r="JG17" s="156"/>
      <c r="JH17" s="157"/>
      <c r="JI17" s="156"/>
      <c r="JJ17" s="156"/>
      <c r="JK17" s="156"/>
      <c r="JL17" s="156"/>
      <c r="JM17" s="157"/>
      <c r="JN17" s="156"/>
      <c r="JO17" s="156"/>
      <c r="JP17" s="156"/>
      <c r="JQ17" s="156"/>
      <c r="JR17" s="157"/>
      <c r="JS17" s="156"/>
      <c r="JT17" s="156"/>
      <c r="JU17" s="156"/>
      <c r="JV17" s="156"/>
      <c r="JW17" s="157"/>
      <c r="JX17" s="156"/>
      <c r="JY17" s="156"/>
      <c r="JZ17" s="156"/>
      <c r="KA17" s="156"/>
      <c r="KB17" s="157"/>
      <c r="KC17" s="156"/>
      <c r="KD17" s="156"/>
      <c r="KE17" s="156"/>
      <c r="KF17" s="156"/>
      <c r="KG17" s="157"/>
      <c r="KH17" s="156"/>
      <c r="KI17" s="156"/>
      <c r="KJ17" s="156"/>
      <c r="KK17" s="156"/>
      <c r="KL17" s="157"/>
      <c r="KM17" s="156"/>
      <c r="KN17" s="156"/>
      <c r="KO17" s="156"/>
      <c r="KP17" s="156"/>
      <c r="KQ17" s="157"/>
      <c r="KR17" s="156"/>
      <c r="KS17" s="156"/>
      <c r="KT17" s="156"/>
      <c r="KU17" s="156"/>
      <c r="KV17" s="157"/>
      <c r="KW17" s="156"/>
      <c r="KX17" s="156"/>
      <c r="KY17" s="156"/>
      <c r="KZ17" s="156"/>
      <c r="LA17" s="163"/>
      <c r="LB17" s="156"/>
      <c r="LC17" s="156"/>
      <c r="LD17" s="156"/>
      <c r="LE17" s="156"/>
      <c r="LF17" s="163"/>
      <c r="LG17" s="156"/>
      <c r="LH17" s="156"/>
      <c r="LI17" s="156"/>
      <c r="LJ17" s="156"/>
      <c r="LK17" s="157"/>
      <c r="LL17" s="156"/>
      <c r="LM17" s="156"/>
      <c r="LN17" s="156"/>
      <c r="LO17" s="156"/>
      <c r="LP17" s="157"/>
      <c r="LQ17" s="156"/>
      <c r="LR17" s="156"/>
      <c r="LS17" s="156"/>
      <c r="LT17" s="156"/>
      <c r="LU17" s="157"/>
      <c r="LV17" s="156"/>
      <c r="LW17" s="156"/>
      <c r="LX17" s="156"/>
      <c r="LY17" s="156"/>
      <c r="LZ17" s="157"/>
      <c r="MA17" s="156"/>
      <c r="MB17" s="156"/>
      <c r="MC17" s="156"/>
      <c r="MD17" s="156"/>
      <c r="ME17" s="157"/>
      <c r="MF17" s="157"/>
      <c r="MG17" s="157"/>
      <c r="MH17" s="157"/>
      <c r="MI17" s="157"/>
      <c r="MJ17" s="157"/>
      <c r="MK17" s="157"/>
      <c r="ML17" s="157"/>
      <c r="MM17" s="157"/>
      <c r="MN17" s="157"/>
      <c r="MO17" s="157"/>
      <c r="MP17" s="157"/>
      <c r="MQ17" s="157"/>
      <c r="MR17" s="157"/>
      <c r="MS17" s="157"/>
      <c r="MT17" s="157"/>
      <c r="MU17" s="157"/>
      <c r="MV17" s="157"/>
      <c r="MW17" s="157"/>
      <c r="MX17" s="157"/>
      <c r="MY17" s="157"/>
      <c r="MZ17" s="157"/>
      <c r="NA17" s="157"/>
      <c r="NB17" s="157"/>
      <c r="NC17" s="157"/>
      <c r="ND17" s="157"/>
      <c r="NE17" s="157"/>
      <c r="NF17" s="157"/>
      <c r="NG17" s="157"/>
      <c r="NH17" s="157"/>
      <c r="NI17" s="157"/>
      <c r="NJ17" s="157"/>
      <c r="NK17" s="157"/>
      <c r="NL17" s="157"/>
      <c r="NM17" s="157"/>
      <c r="NN17" s="157"/>
      <c r="NO17" s="157"/>
      <c r="NP17" s="157"/>
      <c r="NQ17" s="157"/>
      <c r="NR17" s="157"/>
      <c r="NS17" s="157"/>
      <c r="NT17" s="157"/>
      <c r="NU17" s="157"/>
      <c r="NV17" s="157"/>
      <c r="NW17" s="157"/>
      <c r="NX17" s="157"/>
      <c r="NY17" s="157"/>
      <c r="NZ17" s="157"/>
      <c r="OA17" s="157"/>
      <c r="OB17" s="157"/>
      <c r="OC17" s="157"/>
      <c r="OD17" s="157"/>
      <c r="OE17" s="157"/>
      <c r="OF17" s="157"/>
      <c r="OG17" s="157"/>
      <c r="OH17" s="157"/>
      <c r="OI17" s="157"/>
      <c r="OJ17" s="157"/>
      <c r="OK17" s="157"/>
      <c r="OL17" s="157"/>
    </row>
    <row r="18" spans="1:402">
      <c r="A18" s="59" t="s">
        <v>583</v>
      </c>
      <c r="C18" s="610">
        <f>([3]segmenty!$D$47)*1000</f>
        <v>561000</v>
      </c>
      <c r="D18" s="610">
        <f>([3]segmenty!$D$72)*1000</f>
        <v>321000</v>
      </c>
      <c r="E18" s="610">
        <f>([3]segmenty!$D$69)*1000</f>
        <v>179000</v>
      </c>
      <c r="F18" s="610">
        <f>([3]segmenty!$D$63)*1000</f>
        <v>3971000</v>
      </c>
      <c r="H18" s="610">
        <f>('[3]segmenty 3 m-ce'!$D$100)*1000</f>
        <v>121000</v>
      </c>
      <c r="I18" s="610">
        <f>('[3]segmenty 3 m-ce'!$D$115)*1000</f>
        <v>45000</v>
      </c>
      <c r="J18" s="610">
        <f>('[3]segmenty 3 m-ce'!$D$112)*1000</f>
        <v>-1000</v>
      </c>
      <c r="K18" s="610">
        <f t="shared" si="41"/>
        <v>3971000</v>
      </c>
      <c r="M18" s="610">
        <f>[7]segmenty!$C$9*1000</f>
        <v>440000</v>
      </c>
      <c r="N18" s="610">
        <v>276000</v>
      </c>
      <c r="O18" s="610">
        <v>180000</v>
      </c>
      <c r="P18" s="610">
        <v>3971000</v>
      </c>
      <c r="R18" s="610">
        <v>171000</v>
      </c>
      <c r="S18" s="610">
        <v>90000</v>
      </c>
      <c r="T18" s="610">
        <v>42000</v>
      </c>
      <c r="U18" s="610">
        <f t="shared" si="42"/>
        <v>3971000</v>
      </c>
      <c r="W18" s="610">
        <f>[4]segmenty!$C$47*1000</f>
        <v>269000</v>
      </c>
      <c r="X18" s="610">
        <f>[4]segmenty!$C$72*1000</f>
        <v>186000</v>
      </c>
      <c r="Y18" s="610">
        <f>[4]segmenty!$C$69*1000</f>
        <v>138000</v>
      </c>
      <c r="Z18" s="610">
        <f>[4]segmenty!$C$63*1000</f>
        <v>3971000</v>
      </c>
      <c r="AB18" s="610">
        <f>([5]segmenty!$C$48)*1000</f>
        <v>909000</v>
      </c>
      <c r="AC18" s="610">
        <f>([5]segmenty!$C$73)*1000</f>
        <v>476000</v>
      </c>
      <c r="AD18" s="610">
        <f>([5]segmenty!$C$70)*1000</f>
        <v>292000</v>
      </c>
      <c r="AE18" s="610">
        <f>([5]segmenty!$C$64)*1000</f>
        <v>2910000</v>
      </c>
      <c r="AG18" s="610">
        <f t="shared" si="43"/>
        <v>163000</v>
      </c>
      <c r="AH18" s="610">
        <f t="shared" si="43"/>
        <v>94000</v>
      </c>
      <c r="AI18" s="610">
        <f t="shared" si="43"/>
        <v>20000</v>
      </c>
      <c r="AJ18" s="610">
        <f t="shared" si="44"/>
        <v>2910000</v>
      </c>
      <c r="AL18" s="610">
        <f>([6]segmenty!$C$48)*1000</f>
        <v>746000</v>
      </c>
      <c r="AM18" s="610">
        <f>([6]segmenty!$C$73)*1000</f>
        <v>382000</v>
      </c>
      <c r="AN18" s="610">
        <f>([6]segmenty!$C$70)*1000</f>
        <v>272000</v>
      </c>
      <c r="AO18" s="610">
        <f>([6]segmenty!$C$64)*1000</f>
        <v>2910000</v>
      </c>
      <c r="AQ18" s="610">
        <f>('[6]segmenty 3 m-ce PREZ'!$C$39)*1000</f>
        <v>178000</v>
      </c>
      <c r="AR18" s="610">
        <f>('[6]segmenty 3 m-ce PREZ'!$C$46)*1000</f>
        <v>86000</v>
      </c>
      <c r="AS18" s="610">
        <f>('[6]segmenty 3 m-ce PREZ'!$C$42)*1000</f>
        <v>50000</v>
      </c>
      <c r="AT18" s="610">
        <f t="shared" si="45"/>
        <v>2910000</v>
      </c>
      <c r="AV18" s="610">
        <f>([7]segmenty!$C$48)*1000</f>
        <v>568000</v>
      </c>
      <c r="AW18" s="610">
        <f>([7]segmenty!$C$72)*1000</f>
        <v>296000</v>
      </c>
      <c r="AX18" s="610">
        <f>([7]segmenty!$C$69)*1000</f>
        <v>222000</v>
      </c>
      <c r="AY18" s="610">
        <f>([7]segmenty!$C$63)*1000</f>
        <v>2910000</v>
      </c>
      <c r="BA18" s="610">
        <f>('[7]segmenty 3 m-ce'!$C$101)*1000</f>
        <v>254000</v>
      </c>
      <c r="BB18" s="610">
        <f>('[7]segmenty 3 m-ce'!$C$115)*1000</f>
        <v>110000</v>
      </c>
      <c r="BC18" s="610">
        <f>('[7]segmenty 3 m-ce'!$C$112)*1000</f>
        <v>68000</v>
      </c>
      <c r="BD18" s="610">
        <f t="shared" si="46"/>
        <v>2910000</v>
      </c>
      <c r="BF18" s="610">
        <f>[8]segmenty!$C$48*1000</f>
        <v>314000</v>
      </c>
      <c r="BG18" s="610">
        <f>[8]segmenty!$C$71*1000</f>
        <v>186000</v>
      </c>
      <c r="BH18" s="610">
        <f>[8]segmenty!$C$69*1000</f>
        <v>154000</v>
      </c>
      <c r="BI18" s="610">
        <f>[8]segmenty!$C$63*1000</f>
        <v>2910000</v>
      </c>
      <c r="BK18" s="610">
        <f t="shared" si="47"/>
        <v>217000</v>
      </c>
      <c r="BL18" s="610">
        <f t="shared" si="47"/>
        <v>125000</v>
      </c>
      <c r="BM18" s="610">
        <f t="shared" si="47"/>
        <v>90000</v>
      </c>
      <c r="BN18" s="610">
        <f t="shared" si="48"/>
        <v>2470000</v>
      </c>
      <c r="BP18" s="610">
        <v>661000</v>
      </c>
      <c r="BQ18" s="610">
        <v>376000</v>
      </c>
      <c r="BR18" s="610">
        <v>224000</v>
      </c>
      <c r="BS18" s="610">
        <v>2470000</v>
      </c>
      <c r="BU18" s="467">
        <v>135000</v>
      </c>
      <c r="BV18" s="467">
        <v>84000</v>
      </c>
      <c r="BW18" s="467">
        <v>45000</v>
      </c>
      <c r="BX18" s="467">
        <f t="shared" si="22"/>
        <v>2470000</v>
      </c>
      <c r="BZ18" s="467">
        <v>444000</v>
      </c>
      <c r="CA18" s="467">
        <v>251000</v>
      </c>
      <c r="CB18" s="467">
        <v>134000</v>
      </c>
      <c r="CC18" s="467">
        <v>2470000</v>
      </c>
      <c r="CE18" s="467">
        <f t="shared" si="23"/>
        <v>153000</v>
      </c>
      <c r="CF18" s="467">
        <f t="shared" si="24"/>
        <v>83000</v>
      </c>
      <c r="CG18" s="467">
        <f t="shared" si="25"/>
        <v>44000</v>
      </c>
      <c r="CH18" s="467">
        <v>2470000</v>
      </c>
      <c r="CJ18" s="467">
        <v>309000</v>
      </c>
      <c r="CK18" s="467">
        <v>167000</v>
      </c>
      <c r="CL18" s="467">
        <v>89000</v>
      </c>
      <c r="CM18" s="467">
        <v>2470000</v>
      </c>
      <c r="CO18" s="467">
        <v>156000</v>
      </c>
      <c r="CP18" s="467">
        <v>84000</v>
      </c>
      <c r="CQ18" s="467">
        <v>45000</v>
      </c>
      <c r="CR18" s="467">
        <v>2470000</v>
      </c>
      <c r="CT18" s="467">
        <f t="shared" si="26"/>
        <v>158000</v>
      </c>
      <c r="CU18" s="467">
        <f t="shared" si="27"/>
        <v>79638</v>
      </c>
      <c r="CV18" s="467">
        <f t="shared" si="28"/>
        <v>41525</v>
      </c>
      <c r="CW18" s="467">
        <f t="shared" si="29"/>
        <v>2439000</v>
      </c>
      <c r="CY18" s="467">
        <v>616000</v>
      </c>
      <c r="CZ18" s="467">
        <v>297000</v>
      </c>
      <c r="DA18" s="467">
        <v>146000</v>
      </c>
      <c r="DB18" s="467">
        <v>2439000</v>
      </c>
      <c r="DD18" s="467">
        <f t="shared" si="30"/>
        <v>108978</v>
      </c>
      <c r="DE18" s="467">
        <f t="shared" si="30"/>
        <v>53797</v>
      </c>
      <c r="DF18" s="467">
        <f t="shared" si="30"/>
        <v>16392</v>
      </c>
      <c r="DG18" s="467">
        <f t="shared" si="31"/>
        <v>2438924</v>
      </c>
      <c r="DI18" s="467">
        <v>458000</v>
      </c>
      <c r="DJ18" s="467">
        <v>217362</v>
      </c>
      <c r="DK18" s="467">
        <v>104475</v>
      </c>
      <c r="DL18" s="467">
        <v>2438924</v>
      </c>
      <c r="DN18" s="467">
        <f t="shared" si="32"/>
        <v>149855</v>
      </c>
      <c r="DO18" s="467">
        <f t="shared" si="32"/>
        <v>42495</v>
      </c>
      <c r="DP18" s="467">
        <f t="shared" si="32"/>
        <v>4801</v>
      </c>
      <c r="DQ18" s="467">
        <f t="shared" si="33"/>
        <v>2438924</v>
      </c>
      <c r="DS18" s="467">
        <v>349022</v>
      </c>
      <c r="DT18" s="467">
        <v>163565</v>
      </c>
      <c r="DU18" s="467">
        <v>88083</v>
      </c>
      <c r="DV18" s="467">
        <v>2438924</v>
      </c>
      <c r="DX18" s="467">
        <v>199167</v>
      </c>
      <c r="DY18" s="467">
        <v>121070</v>
      </c>
      <c r="DZ18" s="467">
        <v>83282</v>
      </c>
      <c r="EA18" s="467">
        <v>2438924</v>
      </c>
      <c r="EC18" s="467">
        <f t="shared" si="34"/>
        <v>138116</v>
      </c>
      <c r="ED18" s="467">
        <f t="shared" si="35"/>
        <v>85816</v>
      </c>
      <c r="EE18" s="467">
        <f t="shared" si="36"/>
        <v>74660</v>
      </c>
      <c r="EF18" s="467">
        <f t="shared" si="37"/>
        <v>2491198</v>
      </c>
      <c r="EH18" s="467">
        <v>433911</v>
      </c>
      <c r="EI18" s="467">
        <v>368213</v>
      </c>
      <c r="EJ18" s="467">
        <v>284346</v>
      </c>
      <c r="EK18" s="467">
        <v>2491198</v>
      </c>
      <c r="EM18" s="467">
        <v>83164</v>
      </c>
      <c r="EN18" s="467">
        <v>157959</v>
      </c>
      <c r="EO18" s="467">
        <v>130262</v>
      </c>
      <c r="EP18" s="467">
        <f t="shared" si="38"/>
        <v>2491198</v>
      </c>
      <c r="ER18" s="467">
        <v>295795</v>
      </c>
      <c r="ES18" s="467">
        <v>282397</v>
      </c>
      <c r="ET18" s="467">
        <v>209686</v>
      </c>
      <c r="EU18" s="467">
        <v>2491198</v>
      </c>
      <c r="EW18" s="464">
        <f t="shared" si="39"/>
        <v>100855</v>
      </c>
      <c r="EX18" s="465">
        <f t="shared" si="39"/>
        <v>52557</v>
      </c>
      <c r="EY18" s="464">
        <f t="shared" si="39"/>
        <v>30330</v>
      </c>
      <c r="EZ18" s="464">
        <v>1693053</v>
      </c>
      <c r="FB18" s="464">
        <v>212631</v>
      </c>
      <c r="FC18" s="465">
        <v>124438</v>
      </c>
      <c r="FD18" s="464">
        <v>79424</v>
      </c>
      <c r="FE18" s="464">
        <v>1693053</v>
      </c>
      <c r="FG18" s="464">
        <v>111776</v>
      </c>
      <c r="FH18" s="465">
        <v>71881</v>
      </c>
      <c r="FI18" s="464">
        <v>49094</v>
      </c>
      <c r="FJ18" s="464">
        <v>1750751</v>
      </c>
      <c r="FK18" s="5"/>
      <c r="FL18" s="144"/>
      <c r="FM18" s="346"/>
      <c r="FN18" s="144"/>
      <c r="FO18" s="144"/>
      <c r="FQ18" s="144"/>
      <c r="FR18" s="346"/>
      <c r="FS18" s="144"/>
      <c r="FT18" s="144"/>
      <c r="FV18" s="144"/>
      <c r="FW18" s="346"/>
      <c r="FX18" s="144"/>
      <c r="FY18" s="144"/>
      <c r="GA18" s="144"/>
      <c r="GB18" s="346"/>
      <c r="GC18" s="144"/>
      <c r="GD18" s="144"/>
      <c r="GG18" s="144"/>
      <c r="GH18" s="346"/>
      <c r="GI18" s="144"/>
      <c r="GJ18" s="144"/>
      <c r="GL18" s="144"/>
      <c r="GM18" s="346"/>
      <c r="GN18" s="144"/>
      <c r="GO18" s="144"/>
      <c r="GQ18" s="144"/>
      <c r="GR18" s="346"/>
      <c r="GS18" s="144"/>
      <c r="GT18" s="144"/>
      <c r="GV18" s="144"/>
      <c r="GW18" s="346"/>
      <c r="GX18" s="144"/>
      <c r="GY18" s="144"/>
      <c r="HA18" s="341"/>
      <c r="HB18" s="342"/>
      <c r="HC18" s="341"/>
      <c r="HD18" s="341"/>
      <c r="HF18" s="144"/>
      <c r="HG18" s="346"/>
      <c r="HH18" s="144"/>
      <c r="HI18" s="144"/>
      <c r="HK18" s="144"/>
      <c r="HL18" s="346"/>
      <c r="HM18" s="144"/>
      <c r="HN18" s="144"/>
      <c r="HP18" s="156"/>
      <c r="HQ18" s="183"/>
      <c r="HR18" s="156"/>
      <c r="HS18" s="156"/>
      <c r="HU18" s="156"/>
      <c r="HV18" s="183"/>
      <c r="HW18" s="156"/>
      <c r="HX18" s="156"/>
      <c r="HZ18" s="156"/>
      <c r="IA18" s="183"/>
      <c r="IB18" s="156"/>
      <c r="IC18" s="156"/>
      <c r="IE18" s="156"/>
      <c r="IF18" s="156"/>
      <c r="IG18" s="156"/>
      <c r="IH18" s="156"/>
      <c r="IJ18" s="156"/>
      <c r="IK18" s="183"/>
      <c r="IL18" s="156"/>
      <c r="IM18" s="156"/>
      <c r="IN18" s="157"/>
      <c r="IO18" s="156"/>
      <c r="IP18" s="156"/>
      <c r="IQ18" s="156"/>
      <c r="IR18" s="156"/>
      <c r="IS18" s="156"/>
      <c r="IT18" s="156"/>
      <c r="IU18" s="156"/>
      <c r="IV18" s="156"/>
      <c r="IW18" s="156"/>
      <c r="IX18" s="157"/>
      <c r="IY18" s="156"/>
      <c r="IZ18" s="156"/>
      <c r="JA18" s="156"/>
      <c r="JB18" s="156"/>
      <c r="JC18" s="157"/>
      <c r="JD18" s="156"/>
      <c r="JE18" s="156"/>
      <c r="JF18" s="156"/>
      <c r="JG18" s="156"/>
      <c r="JH18" s="157"/>
      <c r="JI18" s="156"/>
      <c r="JJ18" s="156"/>
      <c r="JK18" s="156"/>
      <c r="JL18" s="156"/>
      <c r="JM18" s="157"/>
      <c r="JN18" s="156"/>
      <c r="JO18" s="156"/>
      <c r="JP18" s="156"/>
      <c r="JQ18" s="156"/>
      <c r="JR18" s="157"/>
      <c r="JS18" s="156"/>
      <c r="JT18" s="156"/>
      <c r="JU18" s="156"/>
      <c r="JV18" s="156"/>
      <c r="JW18" s="157"/>
      <c r="JX18" s="156"/>
      <c r="JY18" s="156"/>
      <c r="JZ18" s="156"/>
      <c r="KA18" s="156"/>
      <c r="KB18" s="157"/>
      <c r="KC18" s="156"/>
      <c r="KD18" s="156"/>
      <c r="KE18" s="156"/>
      <c r="KF18" s="156"/>
      <c r="KG18" s="157"/>
      <c r="KH18" s="156"/>
      <c r="KI18" s="156"/>
      <c r="KJ18" s="156"/>
      <c r="KK18" s="156"/>
      <c r="KL18" s="157"/>
      <c r="KM18" s="156"/>
      <c r="KN18" s="156"/>
      <c r="KO18" s="156"/>
      <c r="KP18" s="156"/>
      <c r="KQ18" s="157"/>
      <c r="KR18" s="156"/>
      <c r="KS18" s="156"/>
      <c r="KT18" s="156"/>
      <c r="KU18" s="156"/>
      <c r="KV18" s="157"/>
      <c r="KW18" s="156"/>
      <c r="KX18" s="156"/>
      <c r="KY18" s="156"/>
      <c r="KZ18" s="156"/>
      <c r="LA18" s="163"/>
      <c r="LB18" s="156"/>
      <c r="LC18" s="156"/>
      <c r="LD18" s="156"/>
      <c r="LE18" s="156"/>
      <c r="LF18" s="163"/>
      <c r="LG18" s="156"/>
      <c r="LH18" s="156"/>
      <c r="LI18" s="156"/>
      <c r="LJ18" s="156"/>
      <c r="LK18" s="157"/>
      <c r="LL18" s="156"/>
      <c r="LM18" s="156"/>
      <c r="LN18" s="156"/>
      <c r="LO18" s="156"/>
      <c r="LP18" s="157"/>
      <c r="LQ18" s="156"/>
      <c r="LR18" s="156"/>
      <c r="LS18" s="156"/>
      <c r="LT18" s="156"/>
      <c r="LU18" s="157"/>
      <c r="LV18" s="156"/>
      <c r="LW18" s="156"/>
      <c r="LX18" s="156"/>
      <c r="LY18" s="156"/>
      <c r="LZ18" s="157"/>
      <c r="MA18" s="156"/>
      <c r="MB18" s="156"/>
      <c r="MC18" s="156"/>
      <c r="MD18" s="156"/>
      <c r="ME18" s="157"/>
      <c r="MF18" s="157"/>
      <c r="MG18" s="157"/>
      <c r="MH18" s="157"/>
      <c r="MI18" s="157"/>
      <c r="MJ18" s="157"/>
      <c r="MK18" s="157"/>
      <c r="ML18" s="157"/>
      <c r="MM18" s="157"/>
      <c r="MN18" s="157"/>
      <c r="MO18" s="157"/>
      <c r="MP18" s="157"/>
      <c r="MQ18" s="157"/>
      <c r="MR18" s="157"/>
      <c r="MS18" s="157"/>
      <c r="MT18" s="157"/>
      <c r="MU18" s="157"/>
      <c r="MV18" s="157"/>
      <c r="MW18" s="157"/>
      <c r="MX18" s="157"/>
      <c r="MY18" s="157"/>
      <c r="MZ18" s="157"/>
      <c r="NA18" s="157"/>
      <c r="NB18" s="157"/>
      <c r="NC18" s="157"/>
      <c r="ND18" s="157"/>
      <c r="NE18" s="157"/>
      <c r="NF18" s="157"/>
      <c r="NG18" s="157"/>
      <c r="NH18" s="157"/>
      <c r="NI18" s="157"/>
      <c r="NJ18" s="157"/>
      <c r="NK18" s="157"/>
      <c r="NL18" s="157"/>
      <c r="NM18" s="157"/>
      <c r="NN18" s="157"/>
      <c r="NO18" s="157"/>
      <c r="NP18" s="157"/>
      <c r="NQ18" s="157"/>
      <c r="NR18" s="157"/>
      <c r="NS18" s="157"/>
      <c r="NT18" s="157"/>
      <c r="NU18" s="157"/>
      <c r="NV18" s="157"/>
      <c r="NW18" s="157"/>
      <c r="NX18" s="157"/>
      <c r="NY18" s="157"/>
      <c r="NZ18" s="157"/>
      <c r="OA18" s="157"/>
      <c r="OB18" s="157"/>
      <c r="OC18" s="157"/>
      <c r="OD18" s="157"/>
      <c r="OE18" s="157"/>
      <c r="OF18" s="157"/>
      <c r="OG18" s="157"/>
      <c r="OH18" s="157"/>
      <c r="OI18" s="157"/>
      <c r="OJ18" s="157"/>
      <c r="OK18" s="157"/>
      <c r="OL18" s="157"/>
    </row>
    <row r="19" spans="1:402" ht="15" customHeight="1">
      <c r="A19" s="59" t="s">
        <v>78</v>
      </c>
      <c r="C19" s="610">
        <f>([3]segmenty!$E$47)*1000</f>
        <v>8961000</v>
      </c>
      <c r="D19" s="610">
        <f>([3]segmenty!$E$72)*1000</f>
        <v>3426000</v>
      </c>
      <c r="E19" s="610">
        <f>([3]segmenty!$E$69)*1000</f>
        <v>2442000</v>
      </c>
      <c r="F19" s="610">
        <f>([3]segmenty!$E$63)*1000</f>
        <v>24194000</v>
      </c>
      <c r="H19" s="610">
        <f>('[3]segmenty 3 m-ce'!$E$100)*1000</f>
        <v>2845000</v>
      </c>
      <c r="I19" s="610">
        <f>('[3]segmenty 3 m-ce'!$E$115)*1000</f>
        <v>1098000</v>
      </c>
      <c r="J19" s="610">
        <f>('[3]segmenty 3 m-ce'!$E$112)*1000</f>
        <v>763000</v>
      </c>
      <c r="K19" s="610">
        <f t="shared" si="41"/>
        <v>24194000</v>
      </c>
      <c r="M19" s="610">
        <v>6116000</v>
      </c>
      <c r="N19" s="610">
        <v>2328000</v>
      </c>
      <c r="O19" s="610">
        <v>1679000</v>
      </c>
      <c r="P19" s="610">
        <v>24194000</v>
      </c>
      <c r="R19" s="610">
        <v>2789000</v>
      </c>
      <c r="S19" s="610">
        <v>1042000</v>
      </c>
      <c r="T19" s="610">
        <v>712000</v>
      </c>
      <c r="U19" s="610">
        <f t="shared" si="42"/>
        <v>24194000</v>
      </c>
      <c r="W19" s="610">
        <f>[4]segmenty!$D$47*1000</f>
        <v>3327000</v>
      </c>
      <c r="X19" s="610">
        <f>[4]segmenty!$D$72*1000</f>
        <v>1286000</v>
      </c>
      <c r="Y19" s="610">
        <f>[4]segmenty!$D$69*1000</f>
        <v>968000</v>
      </c>
      <c r="Z19" s="610">
        <f>[4]segmenty!$D$63*1000</f>
        <v>24189000</v>
      </c>
      <c r="AB19" s="610">
        <f>([5]segmenty!$D$48)*1000</f>
        <v>7611000</v>
      </c>
      <c r="AC19" s="610">
        <f>([5]segmenty!$D$73)*1000</f>
        <v>2939000</v>
      </c>
      <c r="AD19" s="610">
        <f>([5]segmenty!$D$70)*1000</f>
        <v>1679000</v>
      </c>
      <c r="AE19" s="610">
        <f>([5]segmenty!$D$64)*1000</f>
        <v>22174000</v>
      </c>
      <c r="AG19" s="610">
        <f t="shared" si="43"/>
        <v>1880000</v>
      </c>
      <c r="AH19" s="610">
        <f t="shared" si="43"/>
        <v>590000</v>
      </c>
      <c r="AI19" s="610">
        <f t="shared" si="43"/>
        <v>264000</v>
      </c>
      <c r="AJ19" s="610">
        <f t="shared" si="44"/>
        <v>22174000</v>
      </c>
      <c r="AL19" s="610">
        <f>([6]segmenty!$D$48)*1000</f>
        <v>5731000</v>
      </c>
      <c r="AM19" s="610">
        <f>([6]segmenty!$D$73)*1000</f>
        <v>2349000</v>
      </c>
      <c r="AN19" s="610">
        <f>([6]segmenty!$D$70)*1000</f>
        <v>1415000</v>
      </c>
      <c r="AO19" s="610">
        <f>([6]segmenty!$D$64)*1000</f>
        <v>22174000</v>
      </c>
      <c r="AQ19" s="610">
        <f>('[6]segmenty 3 m-ce PREZ'!$D$39)*1000</f>
        <v>1812000</v>
      </c>
      <c r="AR19" s="610">
        <f>('[6]segmenty 3 m-ce PREZ'!$D$46)*1000</f>
        <v>640000</v>
      </c>
      <c r="AS19" s="610">
        <f>('[6]segmenty 3 m-ce PREZ'!$D$42)*1000</f>
        <v>323000</v>
      </c>
      <c r="AT19" s="610">
        <f t="shared" si="45"/>
        <v>22174000</v>
      </c>
      <c r="AV19" s="610">
        <f>([7]segmenty!$D$48)*1000</f>
        <v>3919000</v>
      </c>
      <c r="AW19" s="610">
        <f>([7]segmenty!$D$72)*1000</f>
        <v>1709000</v>
      </c>
      <c r="AX19" s="610">
        <f>([7]segmenty!$D$69)*1000</f>
        <v>1092000</v>
      </c>
      <c r="AY19" s="610">
        <f>([7]segmenty!$D$63)*1000</f>
        <v>22174000</v>
      </c>
      <c r="BA19" s="610">
        <f>('[7]segmenty 3 m-ce'!$D$101)*1000</f>
        <v>1896000</v>
      </c>
      <c r="BB19" s="610">
        <f>('[7]segmenty 3 m-ce'!$D$115)*1000</f>
        <v>845000</v>
      </c>
      <c r="BC19" s="610">
        <f>('[7]segmenty 3 m-ce'!$D$112)*1000</f>
        <v>531000</v>
      </c>
      <c r="BD19" s="610">
        <f t="shared" si="46"/>
        <v>22174000</v>
      </c>
      <c r="BF19" s="610">
        <f>[8]segmenty!$D$48*1000</f>
        <v>2023000</v>
      </c>
      <c r="BG19" s="610">
        <f>[8]segmenty!$D$71*1000</f>
        <v>864000</v>
      </c>
      <c r="BH19" s="610">
        <f>[8]segmenty!$D$69*1000</f>
        <v>561000</v>
      </c>
      <c r="BI19" s="610">
        <f>[8]segmenty!$D$63*1000</f>
        <v>22174000</v>
      </c>
      <c r="BK19" s="610">
        <f t="shared" si="47"/>
        <v>1838000</v>
      </c>
      <c r="BL19" s="610">
        <f t="shared" si="47"/>
        <v>717000</v>
      </c>
      <c r="BM19" s="610">
        <f t="shared" si="47"/>
        <v>410000</v>
      </c>
      <c r="BN19" s="610">
        <f t="shared" si="48"/>
        <v>21117000</v>
      </c>
      <c r="BP19" s="610">
        <v>7099000</v>
      </c>
      <c r="BQ19" s="610">
        <v>2967000</v>
      </c>
      <c r="BR19" s="610">
        <v>1767000</v>
      </c>
      <c r="BS19" s="610">
        <v>21117000</v>
      </c>
      <c r="BU19" s="467">
        <v>1742000</v>
      </c>
      <c r="BV19" s="467">
        <v>731000</v>
      </c>
      <c r="BW19" s="467">
        <v>433000</v>
      </c>
      <c r="BX19" s="467">
        <f t="shared" si="22"/>
        <v>21117000</v>
      </c>
      <c r="BZ19" s="467">
        <v>5261000</v>
      </c>
      <c r="CA19" s="467">
        <v>2250000</v>
      </c>
      <c r="CB19" s="467">
        <v>1357000</v>
      </c>
      <c r="CC19" s="467">
        <v>21117000</v>
      </c>
      <c r="CE19" s="467">
        <f t="shared" si="23"/>
        <v>1713000</v>
      </c>
      <c r="CF19" s="467">
        <f t="shared" si="24"/>
        <v>778000</v>
      </c>
      <c r="CG19" s="467">
        <f t="shared" si="25"/>
        <v>479000</v>
      </c>
      <c r="CH19" s="467">
        <v>21117000</v>
      </c>
      <c r="CJ19" s="467">
        <v>3519000</v>
      </c>
      <c r="CK19" s="467">
        <v>1519000</v>
      </c>
      <c r="CL19" s="467">
        <v>924000</v>
      </c>
      <c r="CM19" s="467">
        <v>21117000</v>
      </c>
      <c r="CO19" s="467">
        <v>1806000</v>
      </c>
      <c r="CP19" s="467">
        <v>741000</v>
      </c>
      <c r="CQ19" s="467">
        <v>445000</v>
      </c>
      <c r="CR19" s="467">
        <v>21117000</v>
      </c>
      <c r="CT19" s="467">
        <f t="shared" si="26"/>
        <v>1787223</v>
      </c>
      <c r="CU19" s="467">
        <f t="shared" si="27"/>
        <v>606124</v>
      </c>
      <c r="CV19" s="467">
        <f t="shared" si="28"/>
        <v>305504</v>
      </c>
      <c r="CW19" s="467">
        <f t="shared" si="29"/>
        <v>20079000</v>
      </c>
      <c r="CY19" s="467">
        <v>6866000</v>
      </c>
      <c r="CZ19" s="467">
        <v>3023000</v>
      </c>
      <c r="DA19" s="467">
        <v>1857000</v>
      </c>
      <c r="DB19" s="467">
        <v>20079000</v>
      </c>
      <c r="DD19" s="467">
        <f t="shared" si="30"/>
        <v>1720223</v>
      </c>
      <c r="DE19" s="467">
        <f t="shared" si="30"/>
        <v>728175</v>
      </c>
      <c r="DF19" s="467">
        <f t="shared" si="30"/>
        <v>436050</v>
      </c>
      <c r="DG19" s="467">
        <f t="shared" si="31"/>
        <v>20079215</v>
      </c>
      <c r="DI19" s="467">
        <v>5078777</v>
      </c>
      <c r="DJ19" s="467">
        <v>2416876</v>
      </c>
      <c r="DK19" s="467">
        <v>1551496</v>
      </c>
      <c r="DL19" s="467">
        <v>20079215</v>
      </c>
      <c r="DN19" s="467">
        <f t="shared" si="32"/>
        <v>1569529</v>
      </c>
      <c r="DO19" s="467">
        <f t="shared" si="32"/>
        <v>1005158</v>
      </c>
      <c r="DP19" s="467">
        <f t="shared" si="32"/>
        <v>715011</v>
      </c>
      <c r="DQ19" s="467">
        <f t="shared" si="33"/>
        <v>20079215</v>
      </c>
      <c r="DS19" s="467">
        <v>3358554</v>
      </c>
      <c r="DT19" s="467">
        <v>1688701</v>
      </c>
      <c r="DU19" s="467">
        <v>1115446</v>
      </c>
      <c r="DV19" s="467">
        <v>20079215</v>
      </c>
      <c r="DX19" s="467">
        <v>1789025</v>
      </c>
      <c r="DY19" s="467">
        <v>683543</v>
      </c>
      <c r="DZ19" s="467">
        <v>400435</v>
      </c>
      <c r="EA19" s="467">
        <v>20079215</v>
      </c>
      <c r="EC19" s="467">
        <f t="shared" si="34"/>
        <v>1696579</v>
      </c>
      <c r="ED19" s="467">
        <f t="shared" si="35"/>
        <v>585541</v>
      </c>
      <c r="EE19" s="467">
        <f t="shared" si="36"/>
        <v>292644</v>
      </c>
      <c r="EF19" s="467">
        <f t="shared" si="37"/>
        <v>19176164</v>
      </c>
      <c r="EH19" s="467">
        <v>6594864</v>
      </c>
      <c r="EI19" s="467">
        <v>2605808</v>
      </c>
      <c r="EJ19" s="467">
        <v>1443741</v>
      </c>
      <c r="EK19" s="467">
        <v>19176164</v>
      </c>
      <c r="EM19" s="467">
        <v>1622943</v>
      </c>
      <c r="EN19" s="467">
        <v>662963</v>
      </c>
      <c r="EO19" s="467">
        <v>373021</v>
      </c>
      <c r="EP19" s="467">
        <f t="shared" si="38"/>
        <v>19176164</v>
      </c>
      <c r="ER19" s="467">
        <v>4898285</v>
      </c>
      <c r="ES19" s="467">
        <v>2020267</v>
      </c>
      <c r="ET19" s="467">
        <v>1151097</v>
      </c>
      <c r="EU19" s="467">
        <v>19176164</v>
      </c>
      <c r="EW19" s="464">
        <f t="shared" si="39"/>
        <v>1594121</v>
      </c>
      <c r="EX19" s="465">
        <f t="shared" si="39"/>
        <v>656334</v>
      </c>
      <c r="EY19" s="464">
        <f t="shared" si="39"/>
        <v>374556</v>
      </c>
      <c r="EZ19" s="464">
        <v>19176164</v>
      </c>
      <c r="FB19" s="464">
        <v>3275342</v>
      </c>
      <c r="FC19" s="465">
        <v>1357304</v>
      </c>
      <c r="FD19" s="464">
        <v>778076</v>
      </c>
      <c r="FE19" s="464">
        <v>19176164</v>
      </c>
      <c r="FG19" s="464">
        <v>1681221</v>
      </c>
      <c r="FH19" s="465">
        <v>700970</v>
      </c>
      <c r="FI19" s="464">
        <v>403520</v>
      </c>
      <c r="FJ19" s="464">
        <v>19176164</v>
      </c>
      <c r="FK19" s="5"/>
      <c r="FL19" s="144">
        <v>6060201</v>
      </c>
      <c r="FM19" s="346">
        <v>2465537</v>
      </c>
      <c r="FN19" s="144">
        <v>1391155</v>
      </c>
      <c r="FO19" s="144">
        <v>17923661</v>
      </c>
      <c r="FQ19" s="144">
        <v>1573539</v>
      </c>
      <c r="FR19" s="346">
        <v>549667</v>
      </c>
      <c r="FS19" s="144">
        <v>269983</v>
      </c>
      <c r="FT19" s="144">
        <v>17923661</v>
      </c>
      <c r="FV19" s="144">
        <v>4486662</v>
      </c>
      <c r="FW19" s="346">
        <v>1915870</v>
      </c>
      <c r="FX19" s="144">
        <v>1121172</v>
      </c>
      <c r="FY19" s="144">
        <v>17923661</v>
      </c>
      <c r="GA19" s="144">
        <v>1462463</v>
      </c>
      <c r="GB19" s="346">
        <v>608204</v>
      </c>
      <c r="GC19" s="144">
        <v>338355</v>
      </c>
      <c r="GD19" s="144">
        <v>17923661</v>
      </c>
      <c r="GG19" s="144">
        <v>3024199</v>
      </c>
      <c r="GH19" s="346">
        <v>1307666</v>
      </c>
      <c r="GI19" s="144">
        <v>782817</v>
      </c>
      <c r="GJ19" s="144">
        <v>17923661</v>
      </c>
      <c r="GL19" s="144">
        <v>1453332</v>
      </c>
      <c r="GM19" s="346">
        <v>679813</v>
      </c>
      <c r="GN19" s="144">
        <v>414167</v>
      </c>
      <c r="GO19" s="144">
        <v>17923661</v>
      </c>
      <c r="GQ19" s="144">
        <v>1570867</v>
      </c>
      <c r="GR19" s="346">
        <v>627853</v>
      </c>
      <c r="GS19" s="144">
        <v>368650</v>
      </c>
      <c r="GT19" s="144">
        <v>17923661</v>
      </c>
      <c r="GV19" s="144">
        <v>6719943</v>
      </c>
      <c r="GW19" s="346">
        <v>2282685</v>
      </c>
      <c r="GX19" s="144">
        <v>1210925</v>
      </c>
      <c r="GY19" s="144">
        <v>17409160</v>
      </c>
      <c r="HA19" s="341">
        <v>1733033</v>
      </c>
      <c r="HB19" s="342">
        <v>488087</v>
      </c>
      <c r="HC19" s="341">
        <v>212156</v>
      </c>
      <c r="HD19" s="341">
        <v>17409160</v>
      </c>
      <c r="HF19" s="144">
        <v>4986910</v>
      </c>
      <c r="HG19" s="346">
        <v>1794598</v>
      </c>
      <c r="HH19" s="144">
        <v>998769</v>
      </c>
      <c r="HI19" s="144">
        <v>17409160</v>
      </c>
      <c r="HK19" s="144">
        <v>1618916</v>
      </c>
      <c r="HL19" s="346">
        <v>591288</v>
      </c>
      <c r="HM19" s="144">
        <v>321449</v>
      </c>
      <c r="HN19" s="144">
        <v>17409160</v>
      </c>
      <c r="HP19" s="156">
        <v>3367994</v>
      </c>
      <c r="HQ19" s="183">
        <v>1203310</v>
      </c>
      <c r="HR19" s="156">
        <v>677320</v>
      </c>
      <c r="HS19" s="156">
        <v>17409160</v>
      </c>
      <c r="HU19" s="156">
        <v>331709</v>
      </c>
      <c r="HV19" s="183">
        <v>596299</v>
      </c>
      <c r="HW19" s="156">
        <v>331709</v>
      </c>
      <c r="HX19" s="156">
        <v>17409160</v>
      </c>
      <c r="HZ19" s="156">
        <v>1733421</v>
      </c>
      <c r="IA19" s="183">
        <v>607011</v>
      </c>
      <c r="IB19" s="156">
        <v>345611</v>
      </c>
      <c r="IC19" s="156">
        <v>17409160</v>
      </c>
      <c r="IE19" s="156">
        <v>6310216</v>
      </c>
      <c r="IF19" s="156">
        <v>2394812</v>
      </c>
      <c r="IG19" s="156">
        <v>1363236</v>
      </c>
      <c r="IH19" s="156">
        <v>16761938</v>
      </c>
      <c r="IJ19" s="156">
        <v>1634118</v>
      </c>
      <c r="IK19" s="183">
        <v>685152</v>
      </c>
      <c r="IL19" s="156">
        <v>416722</v>
      </c>
      <c r="IM19" s="156">
        <v>16761938</v>
      </c>
      <c r="IN19" s="157"/>
      <c r="IO19" s="156">
        <v>4676098</v>
      </c>
      <c r="IP19" s="156">
        <v>1709660</v>
      </c>
      <c r="IQ19" s="156">
        <v>946514</v>
      </c>
      <c r="IR19" s="156">
        <v>16761938</v>
      </c>
      <c r="IS19" s="156"/>
      <c r="IT19" s="156">
        <v>1531592</v>
      </c>
      <c r="IU19" s="156">
        <v>562063</v>
      </c>
      <c r="IV19" s="156">
        <v>302990</v>
      </c>
      <c r="IW19" s="156">
        <v>16761938</v>
      </c>
      <c r="IX19" s="157"/>
      <c r="IY19" s="156">
        <v>3144506</v>
      </c>
      <c r="IZ19" s="156">
        <v>1147597</v>
      </c>
      <c r="JA19" s="156">
        <v>643524</v>
      </c>
      <c r="JB19" s="156">
        <v>16761938</v>
      </c>
      <c r="JC19" s="157"/>
      <c r="JD19" s="156">
        <f t="shared" si="40"/>
        <v>1528119</v>
      </c>
      <c r="JE19" s="156">
        <f t="shared" si="40"/>
        <v>604338</v>
      </c>
      <c r="JF19" s="156">
        <f t="shared" si="40"/>
        <v>351932</v>
      </c>
      <c r="JG19" s="156">
        <f>JL19</f>
        <v>16761938</v>
      </c>
      <c r="JH19" s="157"/>
      <c r="JI19" s="156">
        <v>1616387</v>
      </c>
      <c r="JJ19" s="156">
        <v>543259</v>
      </c>
      <c r="JK19" s="156">
        <v>291592</v>
      </c>
      <c r="JL19" s="156">
        <v>16761938</v>
      </c>
      <c r="JM19" s="157"/>
      <c r="JN19" s="156">
        <v>6450274</v>
      </c>
      <c r="JO19" s="156">
        <v>2372129</v>
      </c>
      <c r="JP19" s="156">
        <v>1371577</v>
      </c>
      <c r="JQ19" s="156">
        <v>15974893</v>
      </c>
      <c r="JR19" s="157"/>
      <c r="JS19" s="156">
        <v>1657399</v>
      </c>
      <c r="JT19" s="156">
        <v>532836</v>
      </c>
      <c r="JU19" s="156">
        <v>264854</v>
      </c>
      <c r="JV19" s="156">
        <v>15974893</v>
      </c>
      <c r="JW19" s="157"/>
      <c r="JX19" s="156">
        <v>4792875</v>
      </c>
      <c r="JY19" s="156">
        <v>1839293</v>
      </c>
      <c r="JZ19" s="156">
        <v>1106723</v>
      </c>
      <c r="KA19" s="156">
        <v>15974893</v>
      </c>
      <c r="KB19" s="157"/>
      <c r="KC19" s="156">
        <v>1564518</v>
      </c>
      <c r="KD19" s="156">
        <v>596633</v>
      </c>
      <c r="KE19" s="156">
        <v>348307</v>
      </c>
      <c r="KF19" s="156">
        <v>15974893</v>
      </c>
      <c r="KG19" s="157"/>
      <c r="KH19" s="156">
        <v>3228357</v>
      </c>
      <c r="KI19" s="156">
        <v>1242660</v>
      </c>
      <c r="KJ19" s="156">
        <v>758416</v>
      </c>
      <c r="KK19" s="156">
        <v>15974893</v>
      </c>
      <c r="KL19" s="157"/>
      <c r="KM19" s="156">
        <v>1585385</v>
      </c>
      <c r="KN19" s="156">
        <v>696000</v>
      </c>
      <c r="KO19" s="156">
        <v>453363</v>
      </c>
      <c r="KP19" s="156">
        <v>15974893</v>
      </c>
      <c r="KQ19" s="157"/>
      <c r="KR19" s="156">
        <v>1642972</v>
      </c>
      <c r="KS19" s="156">
        <v>546660</v>
      </c>
      <c r="KT19" s="156">
        <v>305053</v>
      </c>
      <c r="KU19" s="156">
        <v>15974893</v>
      </c>
      <c r="KV19" s="157"/>
      <c r="KW19" s="156">
        <v>6074646</v>
      </c>
      <c r="KX19" s="156">
        <v>2172288</v>
      </c>
      <c r="KY19" s="156">
        <v>1209344</v>
      </c>
      <c r="KZ19" s="156">
        <v>15012125</v>
      </c>
      <c r="LA19" s="163"/>
      <c r="LB19" s="156">
        <v>1545835</v>
      </c>
      <c r="LC19" s="156">
        <v>394396</v>
      </c>
      <c r="LD19" s="156">
        <v>138507</v>
      </c>
      <c r="LE19" s="156">
        <v>15012125</v>
      </c>
      <c r="LF19" s="163"/>
      <c r="LG19" s="156">
        <v>4528811</v>
      </c>
      <c r="LH19" s="156">
        <v>1777892</v>
      </c>
      <c r="LI19" s="156">
        <v>1070837</v>
      </c>
      <c r="LJ19" s="156">
        <v>15012125</v>
      </c>
      <c r="LK19" s="157"/>
      <c r="LL19" s="156">
        <v>1479860</v>
      </c>
      <c r="LM19" s="156">
        <v>608152</v>
      </c>
      <c r="LN19" s="156">
        <v>370825</v>
      </c>
      <c r="LO19" s="156">
        <v>15012125</v>
      </c>
      <c r="LP19" s="157"/>
      <c r="LQ19" s="156">
        <v>3048951</v>
      </c>
      <c r="LR19" s="156">
        <v>1169688</v>
      </c>
      <c r="LS19" s="156">
        <v>700012</v>
      </c>
      <c r="LT19" s="156">
        <v>15012125</v>
      </c>
      <c r="LU19" s="157"/>
      <c r="LV19" s="156">
        <v>1490614</v>
      </c>
      <c r="LW19" s="156">
        <v>612000</v>
      </c>
      <c r="LX19" s="156">
        <v>376007</v>
      </c>
      <c r="LY19" s="156">
        <v>15012125</v>
      </c>
      <c r="LZ19" s="157"/>
      <c r="MA19" s="156">
        <v>1558337</v>
      </c>
      <c r="MB19" s="156">
        <v>557688</v>
      </c>
      <c r="MC19" s="156">
        <v>324005</v>
      </c>
      <c r="MD19" s="156">
        <v>15012125</v>
      </c>
      <c r="ME19" s="157"/>
      <c r="MF19" s="178" t="s">
        <v>374</v>
      </c>
      <c r="MG19" s="179" t="s">
        <v>180</v>
      </c>
      <c r="MH19" s="160" t="s">
        <v>91</v>
      </c>
      <c r="MI19" s="160" t="s">
        <v>92</v>
      </c>
      <c r="MJ19" s="160" t="s">
        <v>181</v>
      </c>
      <c r="MK19" s="157"/>
      <c r="ML19" s="179" t="s">
        <v>372</v>
      </c>
      <c r="MM19" s="160" t="s">
        <v>98</v>
      </c>
      <c r="MN19" s="160" t="s">
        <v>103</v>
      </c>
      <c r="MO19" s="160" t="s">
        <v>192</v>
      </c>
      <c r="MP19" s="157"/>
      <c r="MQ19" s="160" t="s">
        <v>194</v>
      </c>
      <c r="MR19" s="160" t="s">
        <v>101</v>
      </c>
      <c r="MS19" s="160" t="s">
        <v>102</v>
      </c>
      <c r="MT19" s="179" t="s">
        <v>197</v>
      </c>
      <c r="MU19" s="157"/>
      <c r="MV19" s="157"/>
      <c r="MW19" s="157"/>
      <c r="MX19" s="157"/>
      <c r="MY19" s="157"/>
      <c r="MZ19" s="157"/>
      <c r="NA19" s="157"/>
      <c r="NB19" s="157"/>
      <c r="NC19" s="157"/>
      <c r="ND19" s="157"/>
      <c r="NE19" s="157"/>
      <c r="NF19" s="157"/>
      <c r="NG19" s="157"/>
      <c r="NH19" s="157"/>
      <c r="NI19" s="157"/>
      <c r="NJ19" s="157"/>
      <c r="NK19" s="157"/>
      <c r="NL19" s="157"/>
      <c r="NM19" s="157"/>
      <c r="NN19" s="157"/>
      <c r="NO19" s="157"/>
      <c r="NP19" s="157"/>
      <c r="NQ19" s="157"/>
      <c r="NR19" s="157"/>
      <c r="NS19" s="157"/>
      <c r="NT19" s="157"/>
      <c r="NU19" s="157"/>
      <c r="NV19" s="157"/>
      <c r="NW19" s="157"/>
      <c r="NX19" s="157"/>
      <c r="NY19" s="157"/>
      <c r="NZ19" s="157"/>
      <c r="OA19" s="157"/>
      <c r="OB19" s="157"/>
      <c r="OC19" s="157"/>
      <c r="OD19" s="157"/>
      <c r="OE19" s="157"/>
      <c r="OF19" s="157"/>
      <c r="OG19" s="157"/>
      <c r="OH19" s="157"/>
      <c r="OI19" s="157"/>
      <c r="OJ19" s="157"/>
      <c r="OK19" s="157"/>
      <c r="OL19" s="157"/>
    </row>
    <row r="20" spans="1:402">
      <c r="A20" s="59" t="s">
        <v>79</v>
      </c>
      <c r="C20" s="610">
        <f>([3]segmenty!$F$47)*1000</f>
        <v>26662000</v>
      </c>
      <c r="D20" s="610">
        <f>([3]segmenty!$F$72)*1000</f>
        <v>452000</v>
      </c>
      <c r="E20" s="610">
        <f>([3]segmenty!$F$69)*1000</f>
        <v>410000</v>
      </c>
      <c r="F20" s="610">
        <f>([3]segmenty!$F$63)*1000</f>
        <v>8581000</v>
      </c>
      <c r="H20" s="610">
        <f>('[3]segmenty 3 m-ce'!$F$100)*1000</f>
        <v>6359000</v>
      </c>
      <c r="I20" s="610">
        <f>('[3]segmenty 3 m-ce'!$F$115)*1000</f>
        <v>-92000</v>
      </c>
      <c r="J20" s="610">
        <f>('[3]segmenty 3 m-ce'!$F$112)*1000</f>
        <v>-105000</v>
      </c>
      <c r="K20" s="610">
        <f t="shared" si="41"/>
        <v>8581000</v>
      </c>
      <c r="M20" s="610">
        <v>20303000</v>
      </c>
      <c r="N20" s="610">
        <v>544000</v>
      </c>
      <c r="O20" s="610">
        <v>515000</v>
      </c>
      <c r="P20" s="610">
        <v>8581000</v>
      </c>
      <c r="R20" s="610">
        <v>8670000</v>
      </c>
      <c r="S20" s="610">
        <v>400000</v>
      </c>
      <c r="T20" s="610">
        <v>384000</v>
      </c>
      <c r="U20" s="610">
        <f t="shared" si="42"/>
        <v>8581000</v>
      </c>
      <c r="W20" s="610">
        <f>[4]segmenty!$E$47*1000</f>
        <v>12232000</v>
      </c>
      <c r="X20" s="610">
        <f>[4]segmenty!$E$72*1000</f>
        <v>145000</v>
      </c>
      <c r="Y20" s="610">
        <f>[4]segmenty!$E$69*1000</f>
        <v>132000</v>
      </c>
      <c r="Z20" s="610">
        <f>[4]segmenty!$E$63*1000</f>
        <v>8550000</v>
      </c>
      <c r="AB20" s="610">
        <f>([5]segmenty!$E$48)*1000</f>
        <v>35491000</v>
      </c>
      <c r="AC20" s="610">
        <f>([5]segmenty!$E$73)*1000</f>
        <v>594000</v>
      </c>
      <c r="AD20" s="610">
        <f>([5]segmenty!$E$70)*1000</f>
        <v>550000</v>
      </c>
      <c r="AE20" s="610">
        <f>([5]segmenty!$E$64)*1000</f>
        <v>6701000</v>
      </c>
      <c r="AG20" s="610">
        <f t="shared" si="43"/>
        <v>9180000</v>
      </c>
      <c r="AH20" s="610">
        <f t="shared" si="43"/>
        <v>85000</v>
      </c>
      <c r="AI20" s="610">
        <f t="shared" si="43"/>
        <v>74000</v>
      </c>
      <c r="AJ20" s="610">
        <f t="shared" si="44"/>
        <v>6701000</v>
      </c>
      <c r="AL20" s="610">
        <f>([6]segmenty!$E$48)*1000</f>
        <v>26311000</v>
      </c>
      <c r="AM20" s="610">
        <f>([6]segmenty!$E$73)*1000</f>
        <v>509000</v>
      </c>
      <c r="AN20" s="610">
        <f>([6]segmenty!$E$70)*1000</f>
        <v>476000</v>
      </c>
      <c r="AO20" s="610">
        <f>([6]segmenty!$E$64)*1000</f>
        <v>6701000</v>
      </c>
      <c r="AQ20" s="610">
        <f>('[6]segmenty 3 m-ce PREZ'!$E$39)*1000</f>
        <v>8058000</v>
      </c>
      <c r="AR20" s="610">
        <f>('[6]segmenty 3 m-ce PREZ'!$E$46)*1000</f>
        <v>468000</v>
      </c>
      <c r="AS20" s="610">
        <f>('[6]segmenty 3 m-ce PREZ'!$E$42)*1000</f>
        <v>457000</v>
      </c>
      <c r="AT20" s="610">
        <f t="shared" si="45"/>
        <v>6701000</v>
      </c>
      <c r="AV20" s="610">
        <f>([7]segmenty!$E$48)*1000</f>
        <v>18257000</v>
      </c>
      <c r="AW20" s="610">
        <f>([7]segmenty!$E$72)*1000</f>
        <v>41000</v>
      </c>
      <c r="AX20" s="610">
        <f>([7]segmenty!$E$69)*1000</f>
        <v>19000</v>
      </c>
      <c r="AY20" s="610">
        <f>([7]segmenty!$E$63)*1000</f>
        <v>6701000</v>
      </c>
      <c r="BA20" s="610">
        <f>('[7]segmenty 3 m-ce'!$E$101)*1000</f>
        <v>7670000</v>
      </c>
      <c r="BB20" s="610">
        <f>('[7]segmenty 3 m-ce'!$E$115)*1000</f>
        <v>144000</v>
      </c>
      <c r="BC20" s="610">
        <f>('[7]segmenty 3 m-ce'!$E$112)*1000</f>
        <v>132000</v>
      </c>
      <c r="BD20" s="610">
        <f t="shared" si="46"/>
        <v>6701000</v>
      </c>
      <c r="BF20" s="610">
        <f>[8]segmenty!$E$48*1000</f>
        <v>10587000</v>
      </c>
      <c r="BG20" s="610">
        <f>[8]segmenty!$E$71*1000</f>
        <v>-103000</v>
      </c>
      <c r="BH20" s="610">
        <f>[8]segmenty!$E$69*1000</f>
        <v>-113000</v>
      </c>
      <c r="BI20" s="610">
        <f>[8]segmenty!$E$63*1000</f>
        <v>6701000</v>
      </c>
      <c r="BK20" s="610">
        <f t="shared" si="47"/>
        <v>7796000</v>
      </c>
      <c r="BL20" s="610">
        <f t="shared" si="47"/>
        <v>-502000</v>
      </c>
      <c r="BM20" s="610">
        <f t="shared" si="47"/>
        <v>-511000</v>
      </c>
      <c r="BN20" s="610">
        <f t="shared" si="48"/>
        <v>4508000</v>
      </c>
      <c r="BP20" s="610">
        <v>24134000</v>
      </c>
      <c r="BQ20" s="610">
        <v>-524000</v>
      </c>
      <c r="BR20" s="610">
        <v>-564000</v>
      </c>
      <c r="BS20" s="610">
        <v>4508000</v>
      </c>
      <c r="BU20" s="467">
        <v>5613000</v>
      </c>
      <c r="BV20" s="467">
        <v>-259000</v>
      </c>
      <c r="BW20" s="467">
        <v>-270000</v>
      </c>
      <c r="BX20" s="467">
        <f t="shared" si="22"/>
        <v>4508000</v>
      </c>
      <c r="BZ20" s="467">
        <v>16338000</v>
      </c>
      <c r="CA20" s="467">
        <v>-22000</v>
      </c>
      <c r="CB20" s="467">
        <v>-53000</v>
      </c>
      <c r="CC20" s="467">
        <v>4508000</v>
      </c>
      <c r="CE20" s="467">
        <f t="shared" si="23"/>
        <v>4645000</v>
      </c>
      <c r="CF20" s="467">
        <f t="shared" si="24"/>
        <v>3000</v>
      </c>
      <c r="CG20" s="467">
        <f t="shared" si="25"/>
        <v>-7000</v>
      </c>
      <c r="CH20" s="467">
        <v>4508000</v>
      </c>
      <c r="CJ20" s="467">
        <v>10725000</v>
      </c>
      <c r="CK20" s="467">
        <v>237000</v>
      </c>
      <c r="CL20" s="467">
        <v>217000</v>
      </c>
      <c r="CM20" s="467">
        <v>4508000</v>
      </c>
      <c r="CO20" s="467">
        <v>6080000</v>
      </c>
      <c r="CP20" s="467">
        <v>234000</v>
      </c>
      <c r="CQ20" s="467">
        <v>224000</v>
      </c>
      <c r="CR20" s="467">
        <v>4508000</v>
      </c>
      <c r="CT20" s="467">
        <f t="shared" si="26"/>
        <v>5099406</v>
      </c>
      <c r="CU20" s="467">
        <f t="shared" si="27"/>
        <v>42457</v>
      </c>
      <c r="CV20" s="467">
        <f t="shared" si="28"/>
        <v>34599</v>
      </c>
      <c r="CW20" s="467">
        <f t="shared" si="29"/>
        <v>4614000</v>
      </c>
      <c r="CY20" s="467">
        <v>17250000</v>
      </c>
      <c r="CZ20" s="467">
        <v>683000</v>
      </c>
      <c r="DA20" s="467">
        <v>642000</v>
      </c>
      <c r="DB20" s="467">
        <v>4614000</v>
      </c>
      <c r="DD20" s="467">
        <f t="shared" si="30"/>
        <v>4136093</v>
      </c>
      <c r="DE20" s="467">
        <f t="shared" si="30"/>
        <v>237639</v>
      </c>
      <c r="DF20" s="467">
        <f t="shared" si="30"/>
        <v>228215</v>
      </c>
      <c r="DG20" s="467">
        <f t="shared" si="31"/>
        <v>4614093</v>
      </c>
      <c r="DI20" s="467">
        <v>12150594</v>
      </c>
      <c r="DJ20" s="467">
        <v>640543</v>
      </c>
      <c r="DK20" s="467">
        <v>607401</v>
      </c>
      <c r="DL20" s="467">
        <v>4614093</v>
      </c>
      <c r="DN20" s="467">
        <f t="shared" si="32"/>
        <v>3783659</v>
      </c>
      <c r="DO20" s="467">
        <f t="shared" si="32"/>
        <v>220472</v>
      </c>
      <c r="DP20" s="467">
        <f t="shared" si="32"/>
        <v>208415</v>
      </c>
      <c r="DQ20" s="467">
        <f t="shared" si="33"/>
        <v>4614093</v>
      </c>
      <c r="DS20" s="467">
        <v>8014501</v>
      </c>
      <c r="DT20" s="467">
        <v>402904</v>
      </c>
      <c r="DU20" s="467">
        <v>379186</v>
      </c>
      <c r="DV20" s="467">
        <v>4614093</v>
      </c>
      <c r="DX20" s="467">
        <v>4230842</v>
      </c>
      <c r="DY20" s="467">
        <v>182432</v>
      </c>
      <c r="DZ20" s="467">
        <v>170771</v>
      </c>
      <c r="EA20" s="467">
        <v>4614093</v>
      </c>
      <c r="EC20" s="467">
        <f t="shared" si="34"/>
        <v>4508216</v>
      </c>
      <c r="ED20" s="467">
        <f t="shared" si="35"/>
        <v>-105072</v>
      </c>
      <c r="EE20" s="467">
        <f t="shared" si="36"/>
        <v>-121577</v>
      </c>
      <c r="EF20" s="467">
        <f t="shared" si="37"/>
        <v>4730135</v>
      </c>
      <c r="EH20" s="467">
        <v>14907937</v>
      </c>
      <c r="EI20" s="467">
        <v>428577</v>
      </c>
      <c r="EJ20" s="467">
        <v>382185</v>
      </c>
      <c r="EK20" s="467">
        <v>4730135</v>
      </c>
      <c r="EM20" s="467">
        <v>3474928</v>
      </c>
      <c r="EN20" s="467">
        <v>110407</v>
      </c>
      <c r="EO20" s="467">
        <v>100132</v>
      </c>
      <c r="EP20" s="467">
        <f t="shared" si="38"/>
        <v>4730135</v>
      </c>
      <c r="ER20" s="467">
        <v>10399721</v>
      </c>
      <c r="ES20" s="467">
        <v>533649</v>
      </c>
      <c r="ET20" s="467">
        <v>503762</v>
      </c>
      <c r="EU20" s="467">
        <v>4730135</v>
      </c>
      <c r="EW20" s="464">
        <f t="shared" si="39"/>
        <v>3013371</v>
      </c>
      <c r="EX20" s="465">
        <f t="shared" si="39"/>
        <v>258311</v>
      </c>
      <c r="EY20" s="464">
        <f t="shared" si="39"/>
        <v>248406</v>
      </c>
      <c r="EZ20" s="464">
        <v>4730135</v>
      </c>
      <c r="FB20" s="464">
        <v>6924793</v>
      </c>
      <c r="FC20" s="465">
        <v>423242</v>
      </c>
      <c r="FD20" s="464">
        <v>403630</v>
      </c>
      <c r="FE20" s="464">
        <v>4730135</v>
      </c>
      <c r="FG20" s="464">
        <v>3911422</v>
      </c>
      <c r="FH20" s="465">
        <v>164931</v>
      </c>
      <c r="FI20" s="464">
        <v>155224</v>
      </c>
      <c r="FJ20" s="464">
        <v>4730135</v>
      </c>
      <c r="FK20" s="5"/>
      <c r="FL20" s="144">
        <v>14219677</v>
      </c>
      <c r="FM20" s="346">
        <v>372471</v>
      </c>
      <c r="FN20" s="144">
        <v>332428</v>
      </c>
      <c r="FO20" s="144">
        <v>3801630</v>
      </c>
      <c r="FQ20" s="144">
        <v>4289264</v>
      </c>
      <c r="FR20" s="346">
        <v>-119249</v>
      </c>
      <c r="FS20" s="144">
        <v>-135387</v>
      </c>
      <c r="FT20" s="144">
        <v>3801630</v>
      </c>
      <c r="FV20" s="144">
        <v>9930413</v>
      </c>
      <c r="FW20" s="346">
        <v>491720</v>
      </c>
      <c r="FX20" s="144">
        <v>467815</v>
      </c>
      <c r="FY20" s="144">
        <v>3801630</v>
      </c>
      <c r="GA20" s="144">
        <v>3448489</v>
      </c>
      <c r="GB20" s="346">
        <v>137215</v>
      </c>
      <c r="GC20" s="144">
        <v>131621</v>
      </c>
      <c r="GD20" s="144">
        <v>3801630</v>
      </c>
      <c r="GG20" s="144">
        <v>6481924</v>
      </c>
      <c r="GH20" s="346">
        <v>354505</v>
      </c>
      <c r="GI20" s="144">
        <v>336194</v>
      </c>
      <c r="GJ20" s="144">
        <v>3801630</v>
      </c>
      <c r="GL20" s="144">
        <v>3097600</v>
      </c>
      <c r="GM20" s="346">
        <v>166457</v>
      </c>
      <c r="GN20" s="144">
        <v>157497</v>
      </c>
      <c r="GO20" s="144">
        <v>3801630</v>
      </c>
      <c r="GQ20" s="144">
        <v>3384324</v>
      </c>
      <c r="GR20" s="346">
        <v>188048</v>
      </c>
      <c r="GS20" s="144">
        <v>178697</v>
      </c>
      <c r="GT20" s="144">
        <v>3801630</v>
      </c>
      <c r="GV20" s="144">
        <v>13567887</v>
      </c>
      <c r="GW20" s="346">
        <v>841222</v>
      </c>
      <c r="GX20" s="144">
        <v>832216</v>
      </c>
      <c r="GY20" s="144">
        <v>3090248</v>
      </c>
      <c r="HA20" s="341">
        <v>3760678</v>
      </c>
      <c r="HB20" s="342">
        <v>150244</v>
      </c>
      <c r="HC20" s="341">
        <v>148297</v>
      </c>
      <c r="HD20" s="341">
        <v>3090248</v>
      </c>
      <c r="HF20" s="144">
        <v>9807209</v>
      </c>
      <c r="HG20" s="346">
        <v>690978</v>
      </c>
      <c r="HH20" s="144">
        <v>683919</v>
      </c>
      <c r="HI20" s="144">
        <v>3090248</v>
      </c>
      <c r="HK20" s="144">
        <v>3130213</v>
      </c>
      <c r="HL20" s="346">
        <v>145582</v>
      </c>
      <c r="HM20" s="144">
        <v>143502</v>
      </c>
      <c r="HN20" s="144">
        <v>3090248</v>
      </c>
      <c r="HP20" s="156">
        <v>6676996</v>
      </c>
      <c r="HQ20" s="183">
        <v>545396</v>
      </c>
      <c r="HR20" s="156">
        <v>540417</v>
      </c>
      <c r="HS20" s="156">
        <v>3090248</v>
      </c>
      <c r="HU20" s="156">
        <v>163143</v>
      </c>
      <c r="HV20" s="183">
        <v>165425</v>
      </c>
      <c r="HW20" s="156">
        <v>163143</v>
      </c>
      <c r="HX20" s="156">
        <v>3090248</v>
      </c>
      <c r="HZ20" s="156">
        <v>3617437</v>
      </c>
      <c r="IA20" s="183">
        <v>379971</v>
      </c>
      <c r="IB20" s="156">
        <v>377274</v>
      </c>
      <c r="IC20" s="156">
        <v>3090248</v>
      </c>
      <c r="IE20" s="156">
        <v>14016190</v>
      </c>
      <c r="IF20" s="156">
        <v>490005</v>
      </c>
      <c r="IG20" s="156">
        <v>479374</v>
      </c>
      <c r="IH20" s="156">
        <v>2659458</v>
      </c>
      <c r="IJ20" s="156">
        <v>3861362</v>
      </c>
      <c r="IK20" s="183">
        <v>89872</v>
      </c>
      <c r="IL20" s="156">
        <v>87549</v>
      </c>
      <c r="IM20" s="156">
        <v>2659458</v>
      </c>
      <c r="IN20" s="157"/>
      <c r="IO20" s="156">
        <v>10154828</v>
      </c>
      <c r="IP20" s="156">
        <v>400133</v>
      </c>
      <c r="IQ20" s="156">
        <v>391825</v>
      </c>
      <c r="IR20" s="156">
        <v>2659458</v>
      </c>
      <c r="IS20" s="156"/>
      <c r="IT20" s="156">
        <v>3269473</v>
      </c>
      <c r="IU20" s="156">
        <v>110560</v>
      </c>
      <c r="IV20" s="156">
        <v>108166</v>
      </c>
      <c r="IW20" s="156">
        <v>2659458</v>
      </c>
      <c r="IX20" s="157"/>
      <c r="IY20" s="156">
        <v>6885355</v>
      </c>
      <c r="IZ20" s="156">
        <v>289573</v>
      </c>
      <c r="JA20" s="156">
        <v>283659</v>
      </c>
      <c r="JB20" s="156">
        <v>2659458</v>
      </c>
      <c r="JC20" s="157"/>
      <c r="JD20" s="156">
        <f t="shared" si="40"/>
        <v>3376697</v>
      </c>
      <c r="JE20" s="156">
        <f t="shared" si="40"/>
        <v>121613</v>
      </c>
      <c r="JF20" s="156">
        <f t="shared" si="40"/>
        <v>122240</v>
      </c>
      <c r="JG20" s="156">
        <f>JL20</f>
        <v>2659458</v>
      </c>
      <c r="JH20" s="157"/>
      <c r="JI20" s="156">
        <v>3508658</v>
      </c>
      <c r="JJ20" s="156">
        <v>167960</v>
      </c>
      <c r="JK20" s="156">
        <v>161419</v>
      </c>
      <c r="JL20" s="156">
        <v>2659458</v>
      </c>
      <c r="JM20" s="157"/>
      <c r="JN20" s="156">
        <v>15873355</v>
      </c>
      <c r="JO20" s="156">
        <v>380405</v>
      </c>
      <c r="JP20" s="156">
        <v>369529</v>
      </c>
      <c r="JQ20" s="156">
        <v>2709132</v>
      </c>
      <c r="JR20" s="157"/>
      <c r="JS20" s="156">
        <v>4060202</v>
      </c>
      <c r="JT20" s="156">
        <v>-71530</v>
      </c>
      <c r="JU20" s="156">
        <v>-74268</v>
      </c>
      <c r="JV20" s="156">
        <v>2709132</v>
      </c>
      <c r="JW20" s="157"/>
      <c r="JX20" s="156">
        <v>11813153</v>
      </c>
      <c r="JY20" s="156">
        <v>451935</v>
      </c>
      <c r="JZ20" s="156">
        <v>443797</v>
      </c>
      <c r="KA20" s="156">
        <v>2706907</v>
      </c>
      <c r="KB20" s="157"/>
      <c r="KC20" s="156">
        <v>3719173</v>
      </c>
      <c r="KD20" s="156">
        <v>116782</v>
      </c>
      <c r="KE20" s="156">
        <v>114042</v>
      </c>
      <c r="KF20" s="156">
        <v>2706907</v>
      </c>
      <c r="KG20" s="157"/>
      <c r="KH20" s="156">
        <v>8093980</v>
      </c>
      <c r="KI20" s="156">
        <v>335153</v>
      </c>
      <c r="KJ20" s="156">
        <v>329755</v>
      </c>
      <c r="KK20" s="156">
        <v>2706907</v>
      </c>
      <c r="KL20" s="157"/>
      <c r="KM20" s="156">
        <v>3915698</v>
      </c>
      <c r="KN20" s="156">
        <v>141382</v>
      </c>
      <c r="KO20" s="156">
        <v>138710</v>
      </c>
      <c r="KP20" s="156">
        <v>2706907</v>
      </c>
      <c r="KQ20" s="157"/>
      <c r="KR20" s="156">
        <v>4178282</v>
      </c>
      <c r="KS20" s="156">
        <v>193771</v>
      </c>
      <c r="KT20" s="156">
        <v>191045</v>
      </c>
      <c r="KU20" s="156">
        <v>2706907</v>
      </c>
      <c r="KV20" s="157"/>
      <c r="KW20" s="156">
        <v>15277451</v>
      </c>
      <c r="KX20" s="156">
        <v>608213</v>
      </c>
      <c r="KY20" s="156">
        <v>582307</v>
      </c>
      <c r="KZ20" s="156">
        <v>3715551</v>
      </c>
      <c r="LA20" s="163"/>
      <c r="LB20" s="156">
        <v>4010459</v>
      </c>
      <c r="LC20" s="156">
        <v>106749</v>
      </c>
      <c r="LD20" s="156">
        <v>103508</v>
      </c>
      <c r="LE20" s="156">
        <v>3715551</v>
      </c>
      <c r="LF20" s="163"/>
      <c r="LG20" s="156">
        <v>11266992</v>
      </c>
      <c r="LH20" s="156">
        <v>501464</v>
      </c>
      <c r="LI20" s="156">
        <v>478799</v>
      </c>
      <c r="LJ20" s="156">
        <v>3715551</v>
      </c>
      <c r="LK20" s="157"/>
      <c r="LL20" s="156">
        <v>3691883</v>
      </c>
      <c r="LM20" s="156">
        <v>109830</v>
      </c>
      <c r="LN20" s="156">
        <v>105291</v>
      </c>
      <c r="LO20" s="156">
        <v>3715551</v>
      </c>
      <c r="LP20" s="157"/>
      <c r="LQ20" s="156">
        <v>7575109</v>
      </c>
      <c r="LR20" s="156">
        <v>391634</v>
      </c>
      <c r="LS20" s="156">
        <v>373508</v>
      </c>
      <c r="LT20" s="156">
        <v>3715551</v>
      </c>
      <c r="LU20" s="157"/>
      <c r="LV20" s="156">
        <v>3479108</v>
      </c>
      <c r="LW20" s="156">
        <v>153290</v>
      </c>
      <c r="LX20" s="156">
        <v>144543</v>
      </c>
      <c r="LY20" s="156">
        <v>3715551</v>
      </c>
      <c r="LZ20" s="157"/>
      <c r="MA20" s="156">
        <v>4096001</v>
      </c>
      <c r="MB20" s="156">
        <v>238344</v>
      </c>
      <c r="MC20" s="156">
        <v>228965</v>
      </c>
      <c r="MD20" s="156">
        <v>3715551</v>
      </c>
      <c r="ME20" s="157"/>
      <c r="MF20" s="164" t="s">
        <v>81</v>
      </c>
      <c r="MG20" s="162">
        <v>1397506</v>
      </c>
      <c r="MH20" s="162">
        <v>165783</v>
      </c>
      <c r="MI20" s="162">
        <v>65786</v>
      </c>
      <c r="MJ20" s="162">
        <v>1465831</v>
      </c>
      <c r="MK20" s="157"/>
      <c r="ML20" s="162">
        <v>1092570</v>
      </c>
      <c r="MM20" s="162">
        <v>168014</v>
      </c>
      <c r="MN20" s="162">
        <v>88794</v>
      </c>
      <c r="MO20" s="162">
        <v>1465831</v>
      </c>
      <c r="MP20" s="157"/>
      <c r="MQ20" s="162">
        <v>748322</v>
      </c>
      <c r="MR20" s="162">
        <v>137404</v>
      </c>
      <c r="MS20" s="162">
        <v>84452</v>
      </c>
      <c r="MT20" s="162">
        <v>1465831</v>
      </c>
      <c r="MU20" s="157"/>
      <c r="MV20" s="157"/>
      <c r="MW20" s="157"/>
      <c r="MX20" s="157"/>
      <c r="MY20" s="157"/>
      <c r="MZ20" s="157"/>
      <c r="NA20" s="157"/>
      <c r="NB20" s="157"/>
      <c r="NC20" s="157"/>
      <c r="ND20" s="157"/>
      <c r="NE20" s="157"/>
      <c r="NF20" s="157"/>
      <c r="NG20" s="157"/>
      <c r="NH20" s="157"/>
      <c r="NI20" s="157"/>
      <c r="NJ20" s="157"/>
      <c r="NK20" s="157"/>
      <c r="NL20" s="157"/>
      <c r="NM20" s="157"/>
      <c r="NN20" s="157"/>
      <c r="NO20" s="157"/>
      <c r="NP20" s="157"/>
      <c r="NQ20" s="157"/>
      <c r="NR20" s="157"/>
      <c r="NS20" s="157"/>
      <c r="NT20" s="157"/>
      <c r="NU20" s="157"/>
      <c r="NV20" s="157"/>
      <c r="NW20" s="157"/>
      <c r="NX20" s="157"/>
      <c r="NY20" s="157"/>
      <c r="NZ20" s="157"/>
      <c r="OA20" s="157"/>
      <c r="OB20" s="157"/>
      <c r="OC20" s="157"/>
      <c r="OD20" s="157"/>
      <c r="OE20" s="157"/>
      <c r="OF20" s="157"/>
      <c r="OG20" s="157"/>
      <c r="OH20" s="157"/>
      <c r="OI20" s="157"/>
      <c r="OJ20" s="157"/>
      <c r="OK20" s="157"/>
      <c r="OL20" s="157"/>
    </row>
    <row r="21" spans="1:402">
      <c r="A21" s="59" t="s">
        <v>80</v>
      </c>
      <c r="C21" s="610">
        <f>([3]segmenty!$G$47)*1000</f>
        <v>784000</v>
      </c>
      <c r="D21" s="610">
        <f>([3]segmenty!$G$72)*1000</f>
        <v>160000</v>
      </c>
      <c r="E21" s="610">
        <f>([3]segmenty!$G$69)*1000</f>
        <v>32000</v>
      </c>
      <c r="F21" s="610">
        <f>([3]segmenty!$G$63)*1000</f>
        <v>1291000</v>
      </c>
      <c r="H21" s="610">
        <f>('[3]segmenty 3 m-ce'!$G$100)*1000</f>
        <v>267000</v>
      </c>
      <c r="I21" s="610">
        <f>('[3]segmenty 3 m-ce'!$G$115)*1000</f>
        <v>46000</v>
      </c>
      <c r="J21" s="610">
        <f>('[3]segmenty 3 m-ce'!$G$112)*1000</f>
        <v>1000</v>
      </c>
      <c r="K21" s="610">
        <f t="shared" si="41"/>
        <v>1291000</v>
      </c>
      <c r="M21" s="610">
        <v>517000</v>
      </c>
      <c r="N21" s="610">
        <v>114000</v>
      </c>
      <c r="O21" s="610">
        <v>31000</v>
      </c>
      <c r="P21" s="610">
        <v>1291000</v>
      </c>
      <c r="R21" s="610">
        <v>258000</v>
      </c>
      <c r="S21" s="610">
        <v>48000</v>
      </c>
      <c r="T21" s="610">
        <v>7000</v>
      </c>
      <c r="U21" s="610">
        <f t="shared" si="42"/>
        <v>1291000</v>
      </c>
      <c r="W21" s="610">
        <f>[4]segmenty!$F$47*1000</f>
        <v>386000</v>
      </c>
      <c r="X21" s="610">
        <f>[4]segmenty!$F$72*1000</f>
        <v>70000</v>
      </c>
      <c r="Y21" s="610">
        <f>[4]segmenty!$F$69*1000</f>
        <v>27000</v>
      </c>
      <c r="Z21" s="610">
        <f>[4]segmenty!$F$63*1000</f>
        <v>1317000</v>
      </c>
      <c r="AB21" s="610">
        <f>([5]segmenty!$F$48)*1000</f>
        <v>1428000</v>
      </c>
      <c r="AC21" s="610">
        <f>([5]segmenty!$F$73)*1000</f>
        <v>298000</v>
      </c>
      <c r="AD21" s="610">
        <f>([5]segmenty!$F$70)*1000</f>
        <v>163000</v>
      </c>
      <c r="AE21" s="610">
        <f>([5]segmenty!$F$64)*1000</f>
        <v>1156000</v>
      </c>
      <c r="AG21" s="610">
        <f t="shared" si="43"/>
        <v>373000</v>
      </c>
      <c r="AH21" s="610">
        <f t="shared" si="43"/>
        <v>129000</v>
      </c>
      <c r="AI21" s="610">
        <f t="shared" si="43"/>
        <v>92000</v>
      </c>
      <c r="AJ21" s="610">
        <f t="shared" si="44"/>
        <v>1156000</v>
      </c>
      <c r="AL21" s="610">
        <f>([6]segmenty!$F$48)*1000</f>
        <v>1055000</v>
      </c>
      <c r="AM21" s="610">
        <f>([6]segmenty!$F$73)*1000</f>
        <v>169000</v>
      </c>
      <c r="AN21" s="610">
        <f>([6]segmenty!$F$70)*1000</f>
        <v>71000</v>
      </c>
      <c r="AO21" s="610">
        <f>([6]segmenty!$F$64)*1000</f>
        <v>1156000</v>
      </c>
      <c r="AQ21" s="610">
        <f>('[6]segmenty 3 m-ce PREZ'!$F$39)*1000</f>
        <v>351000</v>
      </c>
      <c r="AR21" s="610">
        <f>('[6]segmenty 3 m-ce PREZ'!$F$46)*1000</f>
        <v>44000</v>
      </c>
      <c r="AS21" s="610">
        <f>('[6]segmenty 3 m-ce PREZ'!$F$42)*1000</f>
        <v>12000</v>
      </c>
      <c r="AT21" s="610">
        <f t="shared" si="45"/>
        <v>1156000</v>
      </c>
      <c r="AV21" s="610">
        <f>([7]segmenty!$F$48)*1000</f>
        <v>704000</v>
      </c>
      <c r="AW21" s="610">
        <f>([7]segmenty!$F$72)*1000</f>
        <v>125000</v>
      </c>
      <c r="AX21" s="610">
        <f>([7]segmenty!$F$69)*1000</f>
        <v>59000</v>
      </c>
      <c r="AY21" s="610">
        <f>([7]segmenty!$F$63)*1000</f>
        <v>1156000</v>
      </c>
      <c r="BA21" s="610">
        <f>('[7]segmenty 3 m-ce'!$F$101)*1000</f>
        <v>345000</v>
      </c>
      <c r="BB21" s="610">
        <f>('[7]segmenty 3 m-ce'!$F$115)*1000</f>
        <v>65000</v>
      </c>
      <c r="BC21" s="610">
        <f>('[7]segmenty 3 m-ce'!$F$112)*1000</f>
        <v>30000</v>
      </c>
      <c r="BD21" s="610">
        <f t="shared" si="46"/>
        <v>1156000</v>
      </c>
      <c r="BF21" s="610">
        <f>[8]segmenty!$F$48*1000</f>
        <v>359000</v>
      </c>
      <c r="BG21" s="610">
        <f>[8]segmenty!$F$71*1000</f>
        <v>60000</v>
      </c>
      <c r="BH21" s="610">
        <f>[8]segmenty!$F$69*1000</f>
        <v>29000</v>
      </c>
      <c r="BI21" s="610">
        <f>[8]segmenty!$F$63*1000</f>
        <v>1156000</v>
      </c>
      <c r="BK21" s="610">
        <f t="shared" si="47"/>
        <v>337000</v>
      </c>
      <c r="BL21" s="610">
        <f t="shared" si="47"/>
        <v>58000</v>
      </c>
      <c r="BM21" s="610">
        <f t="shared" si="47"/>
        <v>24000</v>
      </c>
      <c r="BN21" s="610">
        <f t="shared" si="48"/>
        <v>891000</v>
      </c>
      <c r="BP21" s="610">
        <v>1177000</v>
      </c>
      <c r="BQ21" s="610">
        <v>208000</v>
      </c>
      <c r="BR21" s="610">
        <v>92000</v>
      </c>
      <c r="BS21" s="610">
        <v>891000</v>
      </c>
      <c r="BU21" s="467">
        <v>281000</v>
      </c>
      <c r="BV21" s="467">
        <v>43000</v>
      </c>
      <c r="BW21" s="467">
        <v>16000</v>
      </c>
      <c r="BX21" s="467">
        <f t="shared" si="22"/>
        <v>891000</v>
      </c>
      <c r="BZ21" s="467">
        <v>840000</v>
      </c>
      <c r="CA21" s="467">
        <v>150000</v>
      </c>
      <c r="CB21" s="467">
        <v>68000</v>
      </c>
      <c r="CC21" s="467">
        <v>891000</v>
      </c>
      <c r="CE21" s="467">
        <f t="shared" si="23"/>
        <v>272000</v>
      </c>
      <c r="CF21" s="467">
        <f t="shared" si="24"/>
        <v>57000</v>
      </c>
      <c r="CG21" s="467">
        <f t="shared" si="25"/>
        <v>28000</v>
      </c>
      <c r="CH21" s="467">
        <v>891000</v>
      </c>
      <c r="CJ21" s="467">
        <v>559000</v>
      </c>
      <c r="CK21" s="467">
        <v>107000</v>
      </c>
      <c r="CL21" s="467">
        <v>52000</v>
      </c>
      <c r="CM21" s="467">
        <v>891000</v>
      </c>
      <c r="CO21" s="467">
        <v>287000</v>
      </c>
      <c r="CP21" s="467">
        <v>50000</v>
      </c>
      <c r="CQ21" s="467">
        <v>24000</v>
      </c>
      <c r="CR21" s="467">
        <v>891000</v>
      </c>
      <c r="CT21" s="467">
        <f t="shared" si="26"/>
        <v>291958</v>
      </c>
      <c r="CU21" s="467">
        <f t="shared" si="27"/>
        <v>17556</v>
      </c>
      <c r="CV21" s="467">
        <f t="shared" si="28"/>
        <v>-6636</v>
      </c>
      <c r="CW21" s="467">
        <f t="shared" si="29"/>
        <v>776000</v>
      </c>
      <c r="CY21" s="467">
        <v>1114000</v>
      </c>
      <c r="CZ21" s="467">
        <v>229000</v>
      </c>
      <c r="DA21" s="467">
        <v>136000</v>
      </c>
      <c r="DB21" s="467">
        <v>776000</v>
      </c>
      <c r="DD21" s="467">
        <f t="shared" si="30"/>
        <v>286091</v>
      </c>
      <c r="DE21" s="467">
        <f t="shared" si="30"/>
        <v>49068</v>
      </c>
      <c r="DF21" s="467">
        <f t="shared" si="30"/>
        <v>24446</v>
      </c>
      <c r="DG21" s="467">
        <f t="shared" si="31"/>
        <v>775856</v>
      </c>
      <c r="DI21" s="467">
        <v>822042</v>
      </c>
      <c r="DJ21" s="467">
        <v>211444</v>
      </c>
      <c r="DK21" s="467">
        <v>142636</v>
      </c>
      <c r="DL21" s="467">
        <v>775856</v>
      </c>
      <c r="DN21" s="467">
        <f t="shared" si="32"/>
        <v>273482</v>
      </c>
      <c r="DO21" s="467">
        <f t="shared" si="32"/>
        <v>123596</v>
      </c>
      <c r="DP21" s="467">
        <f t="shared" si="32"/>
        <v>100460</v>
      </c>
      <c r="DQ21" s="467">
        <f t="shared" si="33"/>
        <v>775856</v>
      </c>
      <c r="DS21" s="467">
        <v>535951</v>
      </c>
      <c r="DT21" s="467">
        <v>162376</v>
      </c>
      <c r="DU21" s="467">
        <v>118190</v>
      </c>
      <c r="DV21" s="467">
        <v>775856</v>
      </c>
      <c r="DX21" s="467">
        <v>262469</v>
      </c>
      <c r="DY21" s="467">
        <v>38780</v>
      </c>
      <c r="DZ21" s="467">
        <v>17730</v>
      </c>
      <c r="EA21" s="467">
        <v>775856</v>
      </c>
      <c r="EC21" s="467">
        <f t="shared" si="34"/>
        <v>247939</v>
      </c>
      <c r="ED21" s="467">
        <f t="shared" si="35"/>
        <v>8695</v>
      </c>
      <c r="EE21" s="467">
        <f t="shared" si="36"/>
        <v>-13448</v>
      </c>
      <c r="EF21" s="467">
        <f t="shared" si="37"/>
        <v>648705</v>
      </c>
      <c r="EH21" s="467">
        <v>979911</v>
      </c>
      <c r="EI21" s="467">
        <v>136186</v>
      </c>
      <c r="EJ21" s="467">
        <v>46152</v>
      </c>
      <c r="EK21" s="467">
        <v>648705</v>
      </c>
      <c r="EM21" s="467">
        <v>249043</v>
      </c>
      <c r="EN21" s="467">
        <v>43029</v>
      </c>
      <c r="EO21" s="467">
        <v>20235</v>
      </c>
      <c r="EP21" s="467">
        <f t="shared" si="38"/>
        <v>648705</v>
      </c>
      <c r="ER21" s="467">
        <v>731972</v>
      </c>
      <c r="ES21" s="467">
        <v>127491</v>
      </c>
      <c r="ET21" s="467">
        <v>59600</v>
      </c>
      <c r="EU21" s="467">
        <v>648705</v>
      </c>
      <c r="EW21" s="464">
        <f t="shared" si="39"/>
        <v>234413</v>
      </c>
      <c r="EX21" s="465">
        <f t="shared" si="39"/>
        <v>40018</v>
      </c>
      <c r="EY21" s="464">
        <f t="shared" si="39"/>
        <v>17339</v>
      </c>
      <c r="EZ21" s="464">
        <v>648705</v>
      </c>
      <c r="FB21" s="464">
        <v>482929</v>
      </c>
      <c r="FC21" s="465">
        <v>84462</v>
      </c>
      <c r="FD21" s="464">
        <v>39365</v>
      </c>
      <c r="FE21" s="464">
        <v>648705</v>
      </c>
      <c r="FG21" s="464">
        <v>248516</v>
      </c>
      <c r="FH21" s="465">
        <v>44444</v>
      </c>
      <c r="FI21" s="464">
        <v>22026</v>
      </c>
      <c r="FJ21" s="464">
        <v>648705</v>
      </c>
      <c r="FK21" s="5"/>
      <c r="FL21" s="144">
        <v>857462</v>
      </c>
      <c r="FM21" s="346">
        <v>135032</v>
      </c>
      <c r="FN21" s="144">
        <v>46023</v>
      </c>
      <c r="FO21" s="144">
        <v>581497</v>
      </c>
      <c r="FQ21" s="144">
        <v>240979</v>
      </c>
      <c r="FR21" s="346">
        <v>4784</v>
      </c>
      <c r="FS21" s="144">
        <v>-16871</v>
      </c>
      <c r="FT21" s="144">
        <v>581497</v>
      </c>
      <c r="FV21" s="144">
        <v>616483</v>
      </c>
      <c r="FW21" s="346">
        <v>130248</v>
      </c>
      <c r="FX21" s="144">
        <v>62894</v>
      </c>
      <c r="FY21" s="144">
        <v>581497</v>
      </c>
      <c r="GA21" s="144">
        <v>201877</v>
      </c>
      <c r="GB21" s="346">
        <v>41536</v>
      </c>
      <c r="GC21" s="144">
        <v>18622</v>
      </c>
      <c r="GD21" s="144">
        <v>581497</v>
      </c>
      <c r="GG21" s="144">
        <v>414606</v>
      </c>
      <c r="GH21" s="346">
        <v>88712</v>
      </c>
      <c r="GI21" s="144">
        <v>44272</v>
      </c>
      <c r="GJ21" s="144">
        <v>581497</v>
      </c>
      <c r="GL21" s="144">
        <v>219053</v>
      </c>
      <c r="GM21" s="346">
        <v>49009</v>
      </c>
      <c r="GN21" s="144">
        <v>25412</v>
      </c>
      <c r="GO21" s="144">
        <v>581497</v>
      </c>
      <c r="GQ21" s="144">
        <v>195553</v>
      </c>
      <c r="GR21" s="346">
        <v>39703</v>
      </c>
      <c r="GS21" s="144">
        <v>18860</v>
      </c>
      <c r="GT21" s="144">
        <v>581497</v>
      </c>
      <c r="GV21" s="144">
        <v>804560</v>
      </c>
      <c r="GW21" s="346">
        <v>118043</v>
      </c>
      <c r="GX21" s="144">
        <v>35902</v>
      </c>
      <c r="GY21" s="144">
        <v>508825</v>
      </c>
      <c r="HA21" s="341">
        <v>206198</v>
      </c>
      <c r="HB21" s="342">
        <v>3431</v>
      </c>
      <c r="HC21" s="341">
        <v>-19915</v>
      </c>
      <c r="HD21" s="341">
        <v>508825</v>
      </c>
      <c r="HF21" s="144">
        <v>598362</v>
      </c>
      <c r="HG21" s="346">
        <v>114612</v>
      </c>
      <c r="HH21" s="144">
        <v>55817</v>
      </c>
      <c r="HI21" s="144">
        <v>508825</v>
      </c>
      <c r="HK21" s="144">
        <v>205774</v>
      </c>
      <c r="HL21" s="346">
        <v>37977</v>
      </c>
      <c r="HM21" s="144">
        <v>17870</v>
      </c>
      <c r="HN21" s="144">
        <v>508825</v>
      </c>
      <c r="HP21" s="156">
        <v>392588</v>
      </c>
      <c r="HQ21" s="183">
        <v>76635</v>
      </c>
      <c r="HR21" s="156">
        <v>37947</v>
      </c>
      <c r="HS21" s="156">
        <v>508825</v>
      </c>
      <c r="HU21" s="156">
        <v>21212</v>
      </c>
      <c r="HV21" s="183">
        <v>40909</v>
      </c>
      <c r="HW21" s="156">
        <v>21212</v>
      </c>
      <c r="HX21" s="156">
        <v>508825</v>
      </c>
      <c r="HZ21" s="156">
        <v>194781</v>
      </c>
      <c r="IA21" s="183">
        <v>35726</v>
      </c>
      <c r="IB21" s="156">
        <v>16735</v>
      </c>
      <c r="IC21" s="156">
        <v>508825</v>
      </c>
      <c r="IE21" s="156">
        <v>827928</v>
      </c>
      <c r="IF21" s="156">
        <v>114570</v>
      </c>
      <c r="IG21" s="156">
        <v>42642</v>
      </c>
      <c r="IH21" s="156">
        <v>468202</v>
      </c>
      <c r="IJ21" s="156">
        <v>211032</v>
      </c>
      <c r="IK21" s="183">
        <v>12302</v>
      </c>
      <c r="IL21" s="156">
        <v>-5504</v>
      </c>
      <c r="IM21" s="156">
        <v>468202</v>
      </c>
      <c r="IN21" s="157"/>
      <c r="IO21" s="156">
        <v>616896</v>
      </c>
      <c r="IP21" s="156">
        <v>102268</v>
      </c>
      <c r="IQ21" s="156">
        <v>48146</v>
      </c>
      <c r="IR21" s="156">
        <v>468202</v>
      </c>
      <c r="IS21" s="156"/>
      <c r="IT21" s="156">
        <v>188053</v>
      </c>
      <c r="IU21" s="156">
        <v>36232</v>
      </c>
      <c r="IV21" s="156">
        <v>18324</v>
      </c>
      <c r="IW21" s="156">
        <v>468202</v>
      </c>
      <c r="IX21" s="157"/>
      <c r="IY21" s="156">
        <v>428843</v>
      </c>
      <c r="IZ21" s="156">
        <v>66036</v>
      </c>
      <c r="JA21" s="156">
        <v>29822</v>
      </c>
      <c r="JB21" s="156">
        <v>468202</v>
      </c>
      <c r="JC21" s="157"/>
      <c r="JD21" s="156">
        <f t="shared" si="40"/>
        <v>211401</v>
      </c>
      <c r="JE21" s="156">
        <f t="shared" si="40"/>
        <v>35550</v>
      </c>
      <c r="JF21" s="156">
        <f t="shared" si="40"/>
        <v>17383</v>
      </c>
      <c r="JG21" s="156">
        <f>JL21</f>
        <v>468202</v>
      </c>
      <c r="JH21" s="157"/>
      <c r="JI21" s="156">
        <v>217442</v>
      </c>
      <c r="JJ21" s="156">
        <v>30486</v>
      </c>
      <c r="JK21" s="156">
        <v>12439</v>
      </c>
      <c r="JL21" s="156">
        <v>468202</v>
      </c>
      <c r="JM21" s="157"/>
      <c r="JN21" s="156">
        <v>927953</v>
      </c>
      <c r="JO21" s="156">
        <v>100320</v>
      </c>
      <c r="JP21" s="156">
        <v>32596</v>
      </c>
      <c r="JQ21" s="156">
        <v>478618</v>
      </c>
      <c r="JR21" s="157"/>
      <c r="JS21" s="156">
        <v>225159</v>
      </c>
      <c r="JT21" s="156">
        <v>2137</v>
      </c>
      <c r="JU21" s="156">
        <v>-15376</v>
      </c>
      <c r="JV21" s="156">
        <v>478618</v>
      </c>
      <c r="JW21" s="157"/>
      <c r="JX21" s="156">
        <v>702794</v>
      </c>
      <c r="JY21" s="156">
        <v>98183</v>
      </c>
      <c r="JZ21" s="156">
        <v>47972</v>
      </c>
      <c r="KA21" s="156">
        <v>478618</v>
      </c>
      <c r="KB21" s="157"/>
      <c r="KC21" s="156">
        <v>199648</v>
      </c>
      <c r="KD21" s="156">
        <v>37188</v>
      </c>
      <c r="KE21" s="156">
        <v>20076</v>
      </c>
      <c r="KF21" s="156">
        <v>478618</v>
      </c>
      <c r="KG21" s="157"/>
      <c r="KH21" s="156">
        <v>503146</v>
      </c>
      <c r="KI21" s="156">
        <v>60995</v>
      </c>
      <c r="KJ21" s="156">
        <v>27896</v>
      </c>
      <c r="KK21" s="156">
        <v>478618</v>
      </c>
      <c r="KL21" s="157"/>
      <c r="KM21" s="156">
        <v>239006</v>
      </c>
      <c r="KN21" s="156">
        <v>17622</v>
      </c>
      <c r="KO21" s="156">
        <v>789</v>
      </c>
      <c r="KP21" s="156">
        <v>478618</v>
      </c>
      <c r="KQ21" s="157"/>
      <c r="KR21" s="156">
        <v>264140</v>
      </c>
      <c r="KS21" s="156">
        <v>43373</v>
      </c>
      <c r="KT21" s="156">
        <v>27107</v>
      </c>
      <c r="KU21" s="156">
        <v>478618</v>
      </c>
      <c r="KV21" s="157"/>
      <c r="KW21" s="156">
        <v>870035</v>
      </c>
      <c r="KX21" s="156">
        <v>106215</v>
      </c>
      <c r="KY21" s="156">
        <v>56593</v>
      </c>
      <c r="KZ21" s="156">
        <v>459596</v>
      </c>
      <c r="LA21" s="163"/>
      <c r="LB21" s="156">
        <v>210812.29391999985</v>
      </c>
      <c r="LC21" s="156">
        <v>-3324</v>
      </c>
      <c r="LD21" s="156">
        <v>-17508</v>
      </c>
      <c r="LE21" s="156">
        <v>459596</v>
      </c>
      <c r="LF21" s="163"/>
      <c r="LG21" s="156">
        <v>659222.70608000015</v>
      </c>
      <c r="LH21" s="156">
        <v>109539</v>
      </c>
      <c r="LI21" s="156">
        <v>74101</v>
      </c>
      <c r="LJ21" s="156">
        <v>459596</v>
      </c>
      <c r="LK21" s="157"/>
      <c r="LL21" s="156">
        <v>233888.70608000015</v>
      </c>
      <c r="LM21" s="156">
        <v>42296</v>
      </c>
      <c r="LN21" s="156">
        <v>28734</v>
      </c>
      <c r="LO21" s="156">
        <v>459596</v>
      </c>
      <c r="LP21" s="157"/>
      <c r="LQ21" s="156">
        <v>425334.29366000002</v>
      </c>
      <c r="LR21" s="156">
        <v>67238</v>
      </c>
      <c r="LS21" s="156">
        <v>45367</v>
      </c>
      <c r="LT21" s="156">
        <v>459596</v>
      </c>
      <c r="LU21" s="157"/>
      <c r="LV21" s="156">
        <v>195771.29366000002</v>
      </c>
      <c r="LW21" s="156">
        <v>22700</v>
      </c>
      <c r="LX21" s="156">
        <v>11051</v>
      </c>
      <c r="LY21" s="156">
        <v>459596</v>
      </c>
      <c r="LZ21" s="157"/>
      <c r="MA21" s="156">
        <v>229563</v>
      </c>
      <c r="MB21" s="156">
        <v>44538</v>
      </c>
      <c r="MC21" s="156">
        <v>34316</v>
      </c>
      <c r="MD21" s="156">
        <v>459596</v>
      </c>
      <c r="ME21" s="157"/>
      <c r="MF21" s="163" t="s">
        <v>82</v>
      </c>
      <c r="MG21" s="156">
        <v>4574265</v>
      </c>
      <c r="MH21" s="156">
        <v>28852</v>
      </c>
      <c r="MI21" s="156">
        <v>-458954</v>
      </c>
      <c r="MJ21" s="156">
        <v>8646833</v>
      </c>
      <c r="MK21" s="157"/>
      <c r="ML21" s="156">
        <v>3339570</v>
      </c>
      <c r="MM21" s="156">
        <v>117195</v>
      </c>
      <c r="MN21" s="156">
        <v>-254167</v>
      </c>
      <c r="MO21" s="156">
        <v>8646833</v>
      </c>
      <c r="MP21" s="157"/>
      <c r="MQ21" s="156">
        <v>2270136</v>
      </c>
      <c r="MR21" s="156">
        <v>28139</v>
      </c>
      <c r="MS21" s="156">
        <v>-230592</v>
      </c>
      <c r="MT21" s="156">
        <v>8646833</v>
      </c>
      <c r="MU21" s="157"/>
      <c r="MV21" s="157"/>
      <c r="MW21" s="157"/>
      <c r="MX21" s="157"/>
      <c r="MY21" s="157"/>
      <c r="MZ21" s="157"/>
      <c r="NA21" s="157"/>
      <c r="NB21" s="157"/>
      <c r="NC21" s="157"/>
      <c r="ND21" s="157"/>
      <c r="NE21" s="157"/>
      <c r="NF21" s="157"/>
      <c r="NG21" s="157"/>
      <c r="NH21" s="157"/>
      <c r="NI21" s="157"/>
      <c r="NJ21" s="157"/>
      <c r="NK21" s="157"/>
      <c r="NL21" s="157"/>
      <c r="NM21" s="157"/>
      <c r="NN21" s="157"/>
      <c r="NO21" s="157"/>
      <c r="NP21" s="157"/>
      <c r="NQ21" s="157"/>
      <c r="NR21" s="157"/>
      <c r="NS21" s="157"/>
      <c r="NT21" s="157"/>
      <c r="NU21" s="157"/>
      <c r="NV21" s="157"/>
      <c r="NW21" s="157"/>
      <c r="NX21" s="157"/>
      <c r="NY21" s="157"/>
      <c r="NZ21" s="157"/>
      <c r="OA21" s="157"/>
      <c r="OB21" s="157"/>
      <c r="OC21" s="157"/>
      <c r="OD21" s="157"/>
      <c r="OE21" s="157"/>
      <c r="OF21" s="157"/>
      <c r="OG21" s="157"/>
      <c r="OH21" s="157"/>
      <c r="OI21" s="157"/>
      <c r="OJ21" s="157"/>
      <c r="OK21" s="157"/>
      <c r="OL21" s="157"/>
    </row>
    <row r="22" spans="1:402">
      <c r="A22" s="59" t="s">
        <v>590</v>
      </c>
      <c r="C22" s="610"/>
      <c r="D22" s="610"/>
      <c r="E22" s="610"/>
      <c r="F22" s="610"/>
      <c r="H22" s="610"/>
      <c r="I22" s="610"/>
      <c r="J22" s="610"/>
      <c r="K22" s="610"/>
      <c r="M22" s="610"/>
      <c r="N22" s="610"/>
      <c r="O22" s="610"/>
      <c r="P22" s="610"/>
      <c r="R22" s="610"/>
      <c r="S22" s="610"/>
      <c r="T22" s="610"/>
      <c r="U22" s="610"/>
      <c r="W22" s="610"/>
      <c r="X22" s="610"/>
      <c r="Y22" s="610"/>
      <c r="Z22" s="610"/>
      <c r="AB22" s="610">
        <f>(SUM([5]segmenty!$I$48:$J$48))*1000</f>
        <v>1030000</v>
      </c>
      <c r="AC22" s="610">
        <f>(SUM([5]segmenty!$I$73:$J$73))*1000</f>
        <v>801000</v>
      </c>
      <c r="AD22" s="610">
        <f>(SUM([5]segmenty!$I$70:$J$70))*1000</f>
        <v>50000</v>
      </c>
      <c r="AE22" s="610">
        <v>0</v>
      </c>
      <c r="AG22" s="610">
        <f t="shared" si="43"/>
        <v>484000</v>
      </c>
      <c r="AH22" s="610">
        <f t="shared" si="43"/>
        <v>517000</v>
      </c>
      <c r="AI22" s="610">
        <f t="shared" si="43"/>
        <v>-20000</v>
      </c>
      <c r="AJ22" s="610"/>
      <c r="AL22" s="610">
        <f>(SUM([6]segmenty!$I$48:$J$48))*1000</f>
        <v>546000</v>
      </c>
      <c r="AM22" s="610">
        <f>(SUM([6]segmenty!$I$73:$J$73))*1000</f>
        <v>284000</v>
      </c>
      <c r="AN22" s="610">
        <f>(SUM([6]segmenty!$I$70:$J$70))*1000</f>
        <v>70000</v>
      </c>
      <c r="AO22" s="610"/>
      <c r="AQ22" s="610">
        <f>('[6]segmenty 3 m-ce PREZ'!$K$39)*1000</f>
        <v>123000</v>
      </c>
      <c r="AR22" s="610">
        <f>('[6]segmenty 3 m-ce PREZ'!$K$46)*1000</f>
        <v>-47000</v>
      </c>
      <c r="AS22" s="610">
        <f>('[6]segmenty 3 m-ce PREZ'!$K$42)*1000</f>
        <v>-75000</v>
      </c>
      <c r="AT22" s="610"/>
      <c r="AV22" s="610">
        <f>(SUM([7]segmenty!$I$48:$J$48))*1000</f>
        <v>423000</v>
      </c>
      <c r="AW22" s="610">
        <f>(SUM([7]segmenty!$I$72:$J$72))*1000</f>
        <v>331000</v>
      </c>
      <c r="AX22" s="610">
        <f>(SUM([7]segmenty!$I$69:$J$69))*1000</f>
        <v>145000</v>
      </c>
      <c r="AY22" s="610">
        <f>(SUM([7]segmenty!$I$63:$J$63))*1000</f>
        <v>0</v>
      </c>
      <c r="BA22" s="610">
        <f>(SUM('[7]segmenty 3 m-ce'!$I$101:$J$101))*1000</f>
        <v>230000</v>
      </c>
      <c r="BB22" s="610">
        <f>(SUM('[7]segmenty 3 m-ce'!$I$115:$J$115))*1000</f>
        <v>210000</v>
      </c>
      <c r="BC22" s="610">
        <f>(SUM('[7]segmenty 3 m-ce'!$I$112:$J$112))*1000</f>
        <v>76000</v>
      </c>
      <c r="BD22" s="610"/>
      <c r="BF22" s="610">
        <f>SUM([8]segmenty!$I$48:$J$48)*1000</f>
        <v>193000</v>
      </c>
      <c r="BG22" s="610">
        <f>SUM([8]segmenty!$I$71:$J$71)*1000</f>
        <v>121000</v>
      </c>
      <c r="BH22" s="610">
        <f>SUM([8]segmenty!$I$69:$J$69)*1000</f>
        <v>69000</v>
      </c>
      <c r="BI22" s="610">
        <f>SUM([8]segmenty!$I$63:$J$63)*1000</f>
        <v>0</v>
      </c>
      <c r="BK22" s="610">
        <f>BP22-BZ15</f>
        <v>-540000</v>
      </c>
      <c r="BL22" s="610">
        <f>BQ22-CA15</f>
        <v>58000</v>
      </c>
      <c r="BM22" s="610">
        <f>BR22-CB15</f>
        <v>16000</v>
      </c>
      <c r="BN22" s="610">
        <f t="shared" si="48"/>
        <v>953000</v>
      </c>
      <c r="BP22" s="610">
        <v>450000</v>
      </c>
      <c r="BQ22" s="610">
        <v>-116000</v>
      </c>
      <c r="BR22" s="610">
        <v>-444000</v>
      </c>
      <c r="BS22" s="610">
        <v>953000</v>
      </c>
      <c r="BU22" s="467"/>
      <c r="BV22" s="467"/>
      <c r="BW22" s="467"/>
      <c r="BX22" s="467"/>
      <c r="BZ22" s="467"/>
      <c r="CA22" s="467"/>
      <c r="CB22" s="467"/>
      <c r="CC22" s="467"/>
      <c r="CE22" s="467"/>
      <c r="CF22" s="467"/>
      <c r="CG22" s="467"/>
      <c r="CH22" s="467"/>
      <c r="CJ22" s="467"/>
      <c r="CK22" s="467"/>
      <c r="CL22" s="467"/>
      <c r="CM22" s="467"/>
      <c r="CO22" s="467"/>
      <c r="CP22" s="467"/>
      <c r="CQ22" s="467"/>
      <c r="CR22" s="467"/>
      <c r="CT22" s="467"/>
      <c r="CU22" s="467"/>
      <c r="CV22" s="467"/>
      <c r="CW22" s="467"/>
      <c r="CY22" s="467"/>
      <c r="CZ22" s="467"/>
      <c r="DA22" s="467"/>
      <c r="DB22" s="467"/>
      <c r="DD22" s="467"/>
      <c r="DE22" s="467"/>
      <c r="DF22" s="467"/>
      <c r="DG22" s="467"/>
      <c r="DI22" s="467"/>
      <c r="DJ22" s="467"/>
      <c r="DK22" s="467"/>
      <c r="DL22" s="467"/>
      <c r="DN22" s="467"/>
      <c r="DO22" s="467"/>
      <c r="DP22" s="467"/>
      <c r="DQ22" s="467"/>
      <c r="DS22" s="467"/>
      <c r="DT22" s="467"/>
      <c r="DU22" s="467"/>
      <c r="DV22" s="467"/>
      <c r="DX22" s="467"/>
      <c r="DY22" s="467"/>
      <c r="DZ22" s="467"/>
      <c r="EA22" s="467"/>
      <c r="EC22" s="467">
        <f t="shared" si="34"/>
        <v>29677</v>
      </c>
      <c r="ED22" s="467">
        <f t="shared" si="35"/>
        <v>41512</v>
      </c>
      <c r="EE22" s="467">
        <f t="shared" si="36"/>
        <v>53342</v>
      </c>
      <c r="EF22" s="467">
        <f t="shared" si="37"/>
        <v>2758401</v>
      </c>
      <c r="EH22" s="467">
        <v>445956</v>
      </c>
      <c r="EI22" s="467">
        <v>178126</v>
      </c>
      <c r="EJ22" s="467">
        <v>96406</v>
      </c>
      <c r="EK22" s="467">
        <v>2758401</v>
      </c>
      <c r="EM22" s="467">
        <v>65771</v>
      </c>
      <c r="EN22" s="467">
        <v>-2979</v>
      </c>
      <c r="EO22" s="467">
        <v>-34472</v>
      </c>
      <c r="EP22" s="467">
        <f t="shared" si="38"/>
        <v>2758401</v>
      </c>
      <c r="ER22" s="467">
        <v>416279</v>
      </c>
      <c r="ES22" s="467">
        <v>136614</v>
      </c>
      <c r="ET22" s="467">
        <v>43064</v>
      </c>
      <c r="EU22" s="467">
        <v>2758401</v>
      </c>
      <c r="EW22" s="467">
        <f t="shared" si="39"/>
        <v>124815</v>
      </c>
      <c r="EX22" s="468">
        <f t="shared" si="39"/>
        <v>31596</v>
      </c>
      <c r="EY22" s="467">
        <f t="shared" si="39"/>
        <v>21</v>
      </c>
      <c r="EZ22" s="467">
        <v>2758401</v>
      </c>
      <c r="FB22" s="467">
        <v>350508</v>
      </c>
      <c r="FC22" s="468">
        <v>139593</v>
      </c>
      <c r="FD22" s="467">
        <v>77536</v>
      </c>
      <c r="FE22" s="467">
        <v>2758401</v>
      </c>
      <c r="FG22" s="467">
        <v>225693</v>
      </c>
      <c r="FH22" s="468">
        <v>107997</v>
      </c>
      <c r="FI22" s="467">
        <v>77515</v>
      </c>
      <c r="FJ22" s="467"/>
      <c r="FK22" s="5"/>
      <c r="FL22" s="341"/>
      <c r="FM22" s="342"/>
      <c r="FN22" s="341"/>
      <c r="FO22" s="341"/>
      <c r="FQ22" s="341"/>
      <c r="FR22" s="342"/>
      <c r="FS22" s="341"/>
      <c r="FT22" s="341"/>
      <c r="FV22" s="341"/>
      <c r="FW22" s="342"/>
      <c r="FX22" s="341"/>
      <c r="FY22" s="341"/>
      <c r="GA22" s="341"/>
      <c r="GB22" s="342"/>
      <c r="GC22" s="341"/>
      <c r="GD22" s="341"/>
      <c r="GG22" s="341"/>
      <c r="GH22" s="342"/>
      <c r="GI22" s="341"/>
      <c r="GJ22" s="341"/>
      <c r="GL22" s="341"/>
      <c r="GM22" s="342"/>
      <c r="GN22" s="341"/>
      <c r="GO22" s="341"/>
      <c r="GQ22" s="341"/>
      <c r="GR22" s="342"/>
      <c r="GS22" s="341"/>
      <c r="GT22" s="341"/>
      <c r="GV22" s="341"/>
      <c r="GW22" s="341"/>
      <c r="GX22" s="341"/>
      <c r="GY22" s="341"/>
      <c r="HA22" s="341"/>
      <c r="HB22" s="342"/>
      <c r="HC22" s="341"/>
      <c r="HD22" s="341"/>
      <c r="HF22" s="341"/>
      <c r="HG22" s="342"/>
      <c r="HH22" s="341"/>
      <c r="HI22" s="341"/>
      <c r="HK22" s="341"/>
      <c r="HL22" s="342"/>
      <c r="HM22" s="341"/>
      <c r="HN22" s="341"/>
      <c r="HP22" s="166"/>
      <c r="HQ22" s="319"/>
      <c r="HR22" s="166"/>
      <c r="HS22" s="166"/>
      <c r="HU22" s="166"/>
      <c r="HV22" s="319"/>
      <c r="HW22" s="166"/>
      <c r="HX22" s="166"/>
      <c r="HZ22" s="156"/>
      <c r="IA22" s="183"/>
      <c r="IB22" s="156"/>
      <c r="IC22" s="156"/>
      <c r="IE22" s="156"/>
      <c r="IF22" s="156"/>
      <c r="IG22" s="156"/>
      <c r="IH22" s="156"/>
      <c r="IJ22" s="156"/>
      <c r="IK22" s="183"/>
      <c r="IL22" s="156"/>
      <c r="IM22" s="156"/>
      <c r="IN22" s="157"/>
      <c r="IO22" s="156"/>
      <c r="IP22" s="156"/>
      <c r="IQ22" s="156"/>
      <c r="IR22" s="156"/>
      <c r="IS22" s="156"/>
      <c r="IT22" s="156"/>
      <c r="IU22" s="156"/>
      <c r="IV22" s="156"/>
      <c r="IW22" s="156"/>
      <c r="IX22" s="157"/>
      <c r="IY22" s="156"/>
      <c r="IZ22" s="156"/>
      <c r="JA22" s="156"/>
      <c r="JB22" s="156"/>
      <c r="JC22" s="157"/>
      <c r="JD22" s="156"/>
      <c r="JE22" s="156"/>
      <c r="JF22" s="156"/>
      <c r="JG22" s="156"/>
      <c r="JH22" s="157"/>
      <c r="JI22" s="156"/>
      <c r="JJ22" s="156"/>
      <c r="JK22" s="156"/>
      <c r="JL22" s="156"/>
      <c r="JM22" s="157"/>
      <c r="JN22" s="156"/>
      <c r="JO22" s="156"/>
      <c r="JP22" s="156"/>
      <c r="JQ22" s="156"/>
      <c r="JR22" s="157"/>
      <c r="JS22" s="156"/>
      <c r="JT22" s="156"/>
      <c r="JU22" s="156"/>
      <c r="JV22" s="156"/>
      <c r="JW22" s="157"/>
      <c r="JX22" s="156"/>
      <c r="JY22" s="156"/>
      <c r="JZ22" s="156"/>
      <c r="KA22" s="156"/>
      <c r="KB22" s="157"/>
      <c r="KC22" s="156"/>
      <c r="KD22" s="156"/>
      <c r="KE22" s="156"/>
      <c r="KF22" s="156"/>
      <c r="KG22" s="157"/>
      <c r="KH22" s="156"/>
      <c r="KI22" s="156"/>
      <c r="KJ22" s="156"/>
      <c r="KK22" s="156"/>
      <c r="KL22" s="157"/>
      <c r="KM22" s="156"/>
      <c r="KN22" s="156"/>
      <c r="KO22" s="156"/>
      <c r="KP22" s="156"/>
      <c r="KQ22" s="157"/>
      <c r="KR22" s="156"/>
      <c r="KS22" s="156"/>
      <c r="KT22" s="156"/>
      <c r="KU22" s="156"/>
      <c r="KV22" s="157"/>
      <c r="KW22" s="156"/>
      <c r="KX22" s="156"/>
      <c r="KY22" s="156"/>
      <c r="KZ22" s="156"/>
      <c r="LA22" s="163"/>
      <c r="LB22" s="156"/>
      <c r="LC22" s="156"/>
      <c r="LD22" s="156"/>
      <c r="LE22" s="156"/>
      <c r="LF22" s="163"/>
      <c r="LG22" s="156"/>
      <c r="LH22" s="156"/>
      <c r="LI22" s="156"/>
      <c r="LJ22" s="156"/>
      <c r="LK22" s="157"/>
      <c r="LL22" s="156"/>
      <c r="LM22" s="156"/>
      <c r="LN22" s="156"/>
      <c r="LO22" s="156"/>
      <c r="LP22" s="157"/>
      <c r="LQ22" s="156"/>
      <c r="LR22" s="156"/>
      <c r="LS22" s="156"/>
      <c r="LT22" s="156"/>
      <c r="LU22" s="157"/>
      <c r="LV22" s="156"/>
      <c r="LW22" s="156"/>
      <c r="LX22" s="156"/>
      <c r="LY22" s="156"/>
      <c r="LZ22" s="157"/>
      <c r="MA22" s="156"/>
      <c r="MB22" s="156"/>
      <c r="MC22" s="156"/>
      <c r="MD22" s="156"/>
      <c r="ME22" s="157"/>
      <c r="MF22" s="163" t="s">
        <v>83</v>
      </c>
      <c r="MG22" s="156">
        <v>204495</v>
      </c>
      <c r="MH22" s="156">
        <v>135563</v>
      </c>
      <c r="MI22" s="156">
        <v>92978</v>
      </c>
      <c r="MJ22" s="156">
        <v>1944940</v>
      </c>
      <c r="MK22" s="157"/>
      <c r="ML22" s="156">
        <v>128900</v>
      </c>
      <c r="MM22" s="156">
        <v>83842</v>
      </c>
      <c r="MN22" s="156">
        <v>56875</v>
      </c>
      <c r="MO22" s="156">
        <v>1944940</v>
      </c>
      <c r="MP22" s="157"/>
      <c r="MQ22" s="156">
        <v>92455</v>
      </c>
      <c r="MR22" s="156">
        <v>62060</v>
      </c>
      <c r="MS22" s="156">
        <v>43969</v>
      </c>
      <c r="MT22" s="156">
        <v>1944940</v>
      </c>
      <c r="MU22" s="157"/>
      <c r="MV22" s="157"/>
      <c r="MW22" s="157"/>
      <c r="MX22" s="157"/>
      <c r="MY22" s="157"/>
      <c r="MZ22" s="157"/>
      <c r="NA22" s="157"/>
      <c r="NB22" s="157"/>
      <c r="NC22" s="157"/>
      <c r="ND22" s="157"/>
      <c r="NE22" s="157"/>
      <c r="NF22" s="157"/>
      <c r="NG22" s="157"/>
      <c r="NH22" s="157"/>
      <c r="NI22" s="157"/>
      <c r="NJ22" s="157"/>
      <c r="NK22" s="157"/>
      <c r="NL22" s="157"/>
      <c r="NM22" s="157"/>
      <c r="NN22" s="157"/>
      <c r="NO22" s="157"/>
      <c r="NP22" s="157"/>
      <c r="NQ22" s="157"/>
      <c r="NR22" s="157"/>
      <c r="NS22" s="157"/>
      <c r="NT22" s="157"/>
      <c r="NU22" s="157"/>
      <c r="NV22" s="157"/>
      <c r="NW22" s="157"/>
      <c r="NX22" s="157"/>
      <c r="NY22" s="157"/>
      <c r="NZ22" s="157"/>
      <c r="OA22" s="157"/>
      <c r="OB22" s="157"/>
      <c r="OC22" s="157"/>
      <c r="OD22" s="157"/>
      <c r="OE22" s="157"/>
      <c r="OF22" s="157"/>
      <c r="OG22" s="157"/>
      <c r="OH22" s="157"/>
      <c r="OI22" s="157"/>
      <c r="OJ22" s="157"/>
      <c r="OK22" s="157"/>
      <c r="OL22" s="157"/>
    </row>
    <row r="23" spans="1:402">
      <c r="A23" s="307" t="s">
        <v>925</v>
      </c>
      <c r="C23" s="611">
        <f>([3]segmenty!$H$47)*1000</f>
        <v>-15038000</v>
      </c>
      <c r="D23" s="611">
        <f>([3]segmenty!$H$72)*1000</f>
        <v>15000</v>
      </c>
      <c r="E23" s="611">
        <f>([3]segmenty!$H$69)*1000</f>
        <v>17000</v>
      </c>
      <c r="F23" s="611">
        <f>([3]segmenty!$H$63)*1000</f>
        <v>1748000</v>
      </c>
      <c r="H23" s="611">
        <f>('[3]segmenty 3 m-ce'!$H$100)*1000</f>
        <v>-3165000</v>
      </c>
      <c r="I23" s="611">
        <f>('[3]segmenty 3 m-ce'!$H$115)*1000</f>
        <v>-34000</v>
      </c>
      <c r="J23" s="611">
        <f>('[3]segmenty 3 m-ce'!$H$112)*1000</f>
        <v>-32000</v>
      </c>
      <c r="K23" s="611">
        <f t="shared" ref="K23" si="49">F23</f>
        <v>1748000</v>
      </c>
      <c r="M23" s="611">
        <f>'[9]segmenty prez'!$H$45*1000</f>
        <v>-11873000</v>
      </c>
      <c r="N23" s="611">
        <f>'[9]segmenty prez'!$H$52*1000</f>
        <v>49000</v>
      </c>
      <c r="O23" s="611">
        <f>'[9]segmenty prez'!$H$48*1000</f>
        <v>49000</v>
      </c>
      <c r="P23" s="611">
        <f>[9]segmenty!$H$63*1000</f>
        <v>1748000</v>
      </c>
      <c r="R23" s="611">
        <f>'[9]segmenty 3 m-ce PREZ'!$H$38*1000</f>
        <v>-5145000</v>
      </c>
      <c r="S23" s="611">
        <f>'[9]segmenty 3 m-ce PREZ'!$H$45*1000</f>
        <v>-36000</v>
      </c>
      <c r="T23" s="611">
        <f>'[9]segmenty 3 m-ce PREZ'!$H$41*1000</f>
        <v>-37000</v>
      </c>
      <c r="U23" s="611">
        <f>P23</f>
        <v>1748000</v>
      </c>
      <c r="W23" s="611">
        <f>'[4]segmenty prez'!$G$45*1000</f>
        <v>-6685000</v>
      </c>
      <c r="X23" s="611">
        <f>'[4]segmenty prez'!$G$52*1000</f>
        <v>85000</v>
      </c>
      <c r="Y23" s="611">
        <f>'[4]segmenty prez'!$G$48*1000</f>
        <v>86000</v>
      </c>
      <c r="Z23" s="611">
        <f>'[4]segmenty prez'!$G$63*1000</f>
        <v>1748000</v>
      </c>
      <c r="AB23" s="611"/>
      <c r="AC23" s="611"/>
      <c r="AD23" s="611"/>
      <c r="AE23" s="611"/>
      <c r="AG23" s="611"/>
      <c r="AH23" s="611"/>
      <c r="AI23" s="611"/>
      <c r="AJ23" s="611"/>
      <c r="AL23" s="611"/>
      <c r="AM23" s="611"/>
      <c r="AN23" s="611"/>
      <c r="AO23" s="611"/>
      <c r="AQ23" s="611"/>
      <c r="AR23" s="611"/>
      <c r="AS23" s="611"/>
      <c r="AT23" s="611"/>
      <c r="AV23" s="611"/>
      <c r="AW23" s="611"/>
      <c r="AX23" s="611"/>
      <c r="AY23" s="611"/>
      <c r="BA23" s="611"/>
      <c r="BB23" s="611"/>
      <c r="BC23" s="611"/>
      <c r="BD23" s="611"/>
      <c r="BF23" s="611"/>
      <c r="BG23" s="611"/>
      <c r="BH23" s="611"/>
      <c r="BI23" s="611"/>
      <c r="BK23" s="611"/>
      <c r="BL23" s="611"/>
      <c r="BM23" s="611"/>
      <c r="BN23" s="611"/>
      <c r="BP23" s="611"/>
      <c r="BQ23" s="611"/>
      <c r="BR23" s="611"/>
      <c r="BS23" s="611"/>
      <c r="BU23" s="469"/>
      <c r="BV23" s="469"/>
      <c r="BW23" s="469"/>
      <c r="BX23" s="469"/>
      <c r="BZ23" s="469"/>
      <c r="CA23" s="469"/>
      <c r="CB23" s="469"/>
      <c r="CC23" s="469"/>
      <c r="CE23" s="469"/>
      <c r="CF23" s="469"/>
      <c r="CG23" s="469"/>
      <c r="CH23" s="469"/>
      <c r="CJ23" s="469"/>
      <c r="CK23" s="469"/>
      <c r="CL23" s="469"/>
      <c r="CM23" s="469"/>
      <c r="CO23" s="469"/>
      <c r="CP23" s="469"/>
      <c r="CQ23" s="469"/>
      <c r="CR23" s="469"/>
      <c r="CT23" s="469"/>
      <c r="CU23" s="469"/>
      <c r="CV23" s="469"/>
      <c r="CW23" s="469"/>
      <c r="CY23" s="469"/>
      <c r="CZ23" s="469"/>
      <c r="DA23" s="469"/>
      <c r="DB23" s="469"/>
      <c r="DD23" s="469"/>
      <c r="DE23" s="469"/>
      <c r="DF23" s="469"/>
      <c r="DG23" s="469"/>
      <c r="DI23" s="469"/>
      <c r="DJ23" s="469"/>
      <c r="DK23" s="469"/>
      <c r="DL23" s="469"/>
      <c r="DN23" s="469"/>
      <c r="DO23" s="469"/>
      <c r="DP23" s="469"/>
      <c r="DQ23" s="469"/>
      <c r="DS23" s="469"/>
      <c r="DT23" s="469"/>
      <c r="DU23" s="469"/>
      <c r="DV23" s="469"/>
      <c r="DX23" s="469"/>
      <c r="DY23" s="469"/>
      <c r="DZ23" s="469"/>
      <c r="EA23" s="469"/>
      <c r="EC23" s="469"/>
      <c r="ED23" s="469"/>
      <c r="EE23" s="469"/>
      <c r="EF23" s="469"/>
      <c r="EH23" s="469"/>
      <c r="EI23" s="469"/>
      <c r="EJ23" s="469"/>
      <c r="EK23" s="469"/>
      <c r="EM23" s="469"/>
      <c r="EN23" s="469"/>
      <c r="EO23" s="469"/>
      <c r="EP23" s="469"/>
      <c r="ER23" s="469"/>
      <c r="ES23" s="469"/>
      <c r="ET23" s="469"/>
      <c r="EU23" s="469"/>
      <c r="EW23" s="469"/>
      <c r="EX23" s="470"/>
      <c r="EY23" s="469"/>
      <c r="EZ23" s="469"/>
      <c r="FB23" s="469"/>
      <c r="FC23" s="470"/>
      <c r="FD23" s="469"/>
      <c r="FE23" s="469"/>
      <c r="FG23" s="469"/>
      <c r="FH23" s="470"/>
      <c r="FI23" s="469"/>
      <c r="FJ23" s="469"/>
      <c r="FK23" s="5"/>
      <c r="FL23" s="343"/>
      <c r="FM23" s="344"/>
      <c r="FN23" s="343"/>
      <c r="FO23" s="343"/>
      <c r="FQ23" s="343"/>
      <c r="FR23" s="344"/>
      <c r="FS23" s="343"/>
      <c r="FT23" s="343"/>
      <c r="FV23" s="343"/>
      <c r="FW23" s="344"/>
      <c r="FX23" s="343"/>
      <c r="FY23" s="343"/>
      <c r="GA23" s="343"/>
      <c r="GB23" s="344"/>
      <c r="GC23" s="343"/>
      <c r="GD23" s="343"/>
      <c r="GG23" s="343"/>
      <c r="GH23" s="344"/>
      <c r="GI23" s="343"/>
      <c r="GJ23" s="343"/>
      <c r="GL23" s="343"/>
      <c r="GM23" s="344"/>
      <c r="GN23" s="343"/>
      <c r="GO23" s="343"/>
      <c r="GQ23" s="343"/>
      <c r="GR23" s="344"/>
      <c r="GS23" s="343"/>
      <c r="GT23" s="343"/>
      <c r="GV23" s="343"/>
      <c r="GW23" s="343"/>
      <c r="GX23" s="343"/>
      <c r="GY23" s="343"/>
      <c r="HA23" s="343"/>
      <c r="HB23" s="344"/>
      <c r="HC23" s="343"/>
      <c r="HD23" s="343"/>
      <c r="HF23" s="343"/>
      <c r="HG23" s="344"/>
      <c r="HH23" s="343"/>
      <c r="HI23" s="343"/>
      <c r="HK23" s="343"/>
      <c r="HL23" s="344"/>
      <c r="HM23" s="343"/>
      <c r="HN23" s="343"/>
      <c r="HP23" s="320"/>
      <c r="HQ23" s="321"/>
      <c r="HR23" s="320"/>
      <c r="HS23" s="320"/>
      <c r="HU23" s="320"/>
      <c r="HV23" s="321"/>
      <c r="HW23" s="320"/>
      <c r="HX23" s="320"/>
      <c r="HZ23" s="181"/>
      <c r="IA23" s="184"/>
      <c r="IB23" s="181"/>
      <c r="IC23" s="181"/>
      <c r="IE23" s="181"/>
      <c r="IF23" s="181"/>
      <c r="IG23" s="181"/>
      <c r="IH23" s="181"/>
      <c r="IJ23" s="181"/>
      <c r="IK23" s="184"/>
      <c r="IL23" s="181"/>
      <c r="IM23" s="181"/>
      <c r="IN23" s="157"/>
      <c r="IO23" s="181"/>
      <c r="IP23" s="181"/>
      <c r="IQ23" s="181"/>
      <c r="IR23" s="181"/>
      <c r="IS23" s="181"/>
      <c r="IT23" s="181"/>
      <c r="IU23" s="181"/>
      <c r="IV23" s="181"/>
      <c r="IW23" s="181"/>
      <c r="IX23" s="157"/>
      <c r="IY23" s="181"/>
      <c r="IZ23" s="181"/>
      <c r="JA23" s="181"/>
      <c r="JB23" s="181"/>
      <c r="JC23" s="157"/>
      <c r="JD23" s="181"/>
      <c r="JE23" s="181"/>
      <c r="JF23" s="181"/>
      <c r="JG23" s="181"/>
      <c r="JH23" s="157"/>
      <c r="JI23" s="181"/>
      <c r="JJ23" s="181"/>
      <c r="JK23" s="181"/>
      <c r="JL23" s="181"/>
      <c r="JM23" s="157"/>
      <c r="JN23" s="181"/>
      <c r="JO23" s="181"/>
      <c r="JP23" s="181"/>
      <c r="JQ23" s="181"/>
      <c r="JR23" s="157"/>
      <c r="JS23" s="181"/>
      <c r="JT23" s="181"/>
      <c r="JU23" s="181"/>
      <c r="JV23" s="181"/>
      <c r="JW23" s="157"/>
      <c r="JX23" s="181"/>
      <c r="JY23" s="181"/>
      <c r="JZ23" s="181"/>
      <c r="KA23" s="181"/>
      <c r="KB23" s="157"/>
      <c r="KC23" s="181"/>
      <c r="KD23" s="181"/>
      <c r="KE23" s="181"/>
      <c r="KF23" s="181"/>
      <c r="KG23" s="157"/>
      <c r="KH23" s="181"/>
      <c r="KI23" s="181"/>
      <c r="KJ23" s="181"/>
      <c r="KK23" s="181"/>
      <c r="KL23" s="157"/>
      <c r="KM23" s="181"/>
      <c r="KN23" s="181"/>
      <c r="KO23" s="181"/>
      <c r="KP23" s="181"/>
      <c r="KQ23" s="157"/>
      <c r="KR23" s="181"/>
      <c r="KS23" s="181"/>
      <c r="KT23" s="181"/>
      <c r="KU23" s="181"/>
      <c r="KV23" s="157"/>
      <c r="KW23" s="181"/>
      <c r="KX23" s="181"/>
      <c r="KY23" s="181"/>
      <c r="KZ23" s="181"/>
      <c r="LA23" s="163"/>
      <c r="LB23" s="181"/>
      <c r="LC23" s="181"/>
      <c r="LD23" s="181"/>
      <c r="LE23" s="181"/>
      <c r="LF23" s="163"/>
      <c r="LG23" s="181"/>
      <c r="LH23" s="181"/>
      <c r="LI23" s="181"/>
      <c r="LJ23" s="181"/>
      <c r="LK23" s="157"/>
      <c r="LL23" s="181"/>
      <c r="LM23" s="181"/>
      <c r="LN23" s="181"/>
      <c r="LO23" s="181"/>
      <c r="LP23" s="157"/>
      <c r="LQ23" s="181"/>
      <c r="LR23" s="181"/>
      <c r="LS23" s="181"/>
      <c r="LT23" s="181"/>
      <c r="LU23" s="157"/>
      <c r="LV23" s="181"/>
      <c r="LW23" s="181"/>
      <c r="LX23" s="181"/>
      <c r="LY23" s="181"/>
      <c r="LZ23" s="157"/>
      <c r="MA23" s="181"/>
      <c r="MB23" s="181"/>
      <c r="MC23" s="181"/>
      <c r="MD23" s="181"/>
      <c r="ME23" s="157"/>
      <c r="MF23" s="163" t="s">
        <v>84</v>
      </c>
      <c r="MG23" s="156">
        <v>1337722</v>
      </c>
      <c r="MH23" s="156">
        <v>235453</v>
      </c>
      <c r="MI23" s="156">
        <v>110909</v>
      </c>
      <c r="MJ23" s="180">
        <v>2169616</v>
      </c>
      <c r="MK23" s="157"/>
      <c r="ML23" s="156">
        <v>925675</v>
      </c>
      <c r="MM23" s="156">
        <v>164893</v>
      </c>
      <c r="MN23" s="156">
        <v>76101</v>
      </c>
      <c r="MO23" s="180">
        <v>2169616</v>
      </c>
      <c r="MP23" s="157"/>
      <c r="MQ23" s="156">
        <v>716398</v>
      </c>
      <c r="MR23" s="156">
        <v>132718</v>
      </c>
      <c r="MS23" s="156">
        <v>74944</v>
      </c>
      <c r="MT23" s="180">
        <v>2169616</v>
      </c>
      <c r="MU23" s="157"/>
      <c r="MV23" s="157"/>
      <c r="MW23" s="157"/>
      <c r="MX23" s="157"/>
      <c r="MY23" s="157"/>
      <c r="MZ23" s="157"/>
      <c r="NA23" s="157"/>
      <c r="NB23" s="157"/>
      <c r="NC23" s="157"/>
      <c r="ND23" s="157"/>
      <c r="NE23" s="157"/>
      <c r="NF23" s="157"/>
      <c r="NG23" s="157"/>
      <c r="NH23" s="157"/>
      <c r="NI23" s="157"/>
      <c r="NJ23" s="157"/>
      <c r="NK23" s="157"/>
      <c r="NL23" s="157"/>
      <c r="NM23" s="157"/>
      <c r="NN23" s="157"/>
      <c r="NO23" s="157"/>
      <c r="NP23" s="157"/>
      <c r="NQ23" s="157"/>
      <c r="NR23" s="157"/>
      <c r="NS23" s="157"/>
      <c r="NT23" s="157"/>
      <c r="NU23" s="157"/>
      <c r="NV23" s="157"/>
      <c r="NW23" s="157"/>
      <c r="NX23" s="157"/>
      <c r="NY23" s="157"/>
      <c r="NZ23" s="157"/>
      <c r="OA23" s="157"/>
      <c r="OB23" s="157"/>
      <c r="OC23" s="157"/>
      <c r="OD23" s="157"/>
      <c r="OE23" s="157"/>
      <c r="OF23" s="157"/>
      <c r="OG23" s="157"/>
      <c r="OH23" s="157"/>
      <c r="OI23" s="157"/>
      <c r="OJ23" s="157"/>
      <c r="OK23" s="157"/>
      <c r="OL23" s="157"/>
    </row>
    <row r="24" spans="1:402">
      <c r="IE24" s="157"/>
      <c r="IF24" s="157"/>
      <c r="IG24" s="157"/>
      <c r="IH24" s="157"/>
      <c r="IJ24" s="157"/>
      <c r="IK24" s="157"/>
      <c r="IL24" s="157"/>
      <c r="IM24" s="157"/>
      <c r="IN24" s="157"/>
      <c r="IO24" s="157"/>
      <c r="IP24" s="157"/>
      <c r="IQ24" s="157"/>
      <c r="IR24" s="157"/>
      <c r="IS24" s="157"/>
      <c r="IT24" s="157"/>
      <c r="IU24" s="157"/>
      <c r="IV24" s="157"/>
      <c r="IW24" s="157"/>
      <c r="IX24" s="157"/>
      <c r="IY24" s="157"/>
      <c r="IZ24" s="157"/>
      <c r="JA24" s="157"/>
      <c r="JB24" s="157"/>
      <c r="JC24" s="157"/>
      <c r="JD24" s="157"/>
      <c r="JE24" s="157"/>
      <c r="JF24" s="157"/>
      <c r="JG24" s="157"/>
      <c r="JH24" s="157"/>
      <c r="JI24" s="157"/>
      <c r="JJ24" s="157"/>
      <c r="JK24" s="157"/>
      <c r="JL24" s="157"/>
      <c r="JM24" s="157"/>
      <c r="JN24" s="157"/>
      <c r="JO24" s="157"/>
      <c r="JP24" s="157"/>
      <c r="JQ24" s="157"/>
      <c r="JR24" s="157"/>
      <c r="JS24" s="157"/>
      <c r="JT24" s="157"/>
      <c r="JU24" s="157"/>
      <c r="JV24" s="157"/>
      <c r="JW24" s="157"/>
      <c r="JX24" s="157"/>
      <c r="JY24" s="157"/>
      <c r="JZ24" s="157"/>
      <c r="KA24" s="157"/>
      <c r="KB24" s="157"/>
      <c r="KC24" s="157"/>
      <c r="KD24" s="157"/>
      <c r="KE24" s="157"/>
      <c r="KF24" s="157"/>
      <c r="KG24" s="157"/>
      <c r="KH24" s="157"/>
      <c r="KI24" s="157"/>
      <c r="KJ24" s="157"/>
      <c r="KK24" s="157"/>
      <c r="KL24" s="157"/>
      <c r="KM24" s="157"/>
      <c r="KN24" s="157"/>
      <c r="KO24" s="157"/>
      <c r="KP24" s="157"/>
      <c r="KQ24" s="157"/>
      <c r="KR24" s="157"/>
      <c r="KS24" s="157"/>
      <c r="KT24" s="157"/>
      <c r="KU24" s="157"/>
      <c r="KV24" s="157"/>
      <c r="KW24" s="157"/>
      <c r="KX24" s="157"/>
      <c r="KY24" s="157"/>
      <c r="KZ24" s="157"/>
      <c r="LA24" s="157"/>
      <c r="LB24" s="157"/>
      <c r="LC24" s="157"/>
      <c r="LD24" s="157"/>
      <c r="LE24" s="157"/>
      <c r="LF24" s="157"/>
      <c r="LG24" s="157"/>
      <c r="LH24" s="157"/>
      <c r="LI24" s="157"/>
      <c r="LJ24" s="157"/>
      <c r="LK24" s="157"/>
      <c r="LL24" s="157"/>
      <c r="LM24" s="157"/>
      <c r="LN24" s="157"/>
      <c r="LO24" s="157"/>
      <c r="LP24" s="157"/>
      <c r="LQ24" s="157"/>
      <c r="LR24" s="157"/>
      <c r="LS24" s="157"/>
      <c r="LT24" s="157"/>
      <c r="LU24" s="157"/>
      <c r="LV24" s="157"/>
      <c r="LW24" s="157"/>
      <c r="LX24" s="157"/>
      <c r="LY24" s="157"/>
      <c r="LZ24" s="157"/>
      <c r="MA24" s="157"/>
      <c r="MB24" s="157"/>
      <c r="MC24" s="157"/>
      <c r="MD24" s="157"/>
      <c r="ME24" s="157"/>
      <c r="MF24" s="163" t="s">
        <v>85</v>
      </c>
      <c r="MG24" s="156">
        <v>5997470</v>
      </c>
      <c r="MH24" s="156">
        <v>2208381</v>
      </c>
      <c r="MI24" s="156">
        <v>1295639</v>
      </c>
      <c r="MJ24" s="180">
        <v>14002290</v>
      </c>
      <c r="MK24" s="157"/>
      <c r="ML24" s="156">
        <v>4451191</v>
      </c>
      <c r="MM24" s="156">
        <v>1700695</v>
      </c>
      <c r="MN24" s="156">
        <v>1024329</v>
      </c>
      <c r="MO24" s="180">
        <v>14002290</v>
      </c>
      <c r="MP24" s="157"/>
      <c r="MQ24" s="156">
        <v>3010804</v>
      </c>
      <c r="MR24" s="156">
        <v>1104102</v>
      </c>
      <c r="MS24" s="156">
        <v>656155</v>
      </c>
      <c r="MT24" s="180">
        <v>14002290</v>
      </c>
      <c r="MU24" s="157"/>
      <c r="MV24" s="157"/>
      <c r="MW24" s="157"/>
      <c r="MX24" s="157"/>
      <c r="MY24" s="157"/>
      <c r="MZ24" s="157"/>
      <c r="NA24" s="157"/>
      <c r="NB24" s="157"/>
      <c r="NC24" s="157"/>
      <c r="ND24" s="157"/>
      <c r="NE24" s="157"/>
      <c r="NF24" s="157"/>
      <c r="NG24" s="157"/>
      <c r="NH24" s="157"/>
      <c r="NI24" s="157"/>
      <c r="NJ24" s="157"/>
      <c r="NK24" s="157"/>
      <c r="NL24" s="157"/>
      <c r="NM24" s="157"/>
      <c r="NN24" s="157"/>
      <c r="NO24" s="157"/>
      <c r="NP24" s="157"/>
      <c r="NQ24" s="157"/>
      <c r="NR24" s="157"/>
      <c r="NS24" s="157"/>
      <c r="NT24" s="157"/>
      <c r="NU24" s="157"/>
      <c r="NV24" s="157"/>
      <c r="NW24" s="157"/>
      <c r="NX24" s="157"/>
      <c r="NY24" s="157"/>
      <c r="NZ24" s="157"/>
      <c r="OA24" s="157"/>
      <c r="OB24" s="157"/>
      <c r="OC24" s="157"/>
      <c r="OD24" s="157"/>
      <c r="OE24" s="157"/>
      <c r="OF24" s="157"/>
      <c r="OG24" s="157"/>
      <c r="OH24" s="157"/>
      <c r="OI24" s="157"/>
      <c r="OJ24" s="157"/>
      <c r="OK24" s="157"/>
      <c r="OL24" s="157"/>
    </row>
    <row r="25" spans="1:402">
      <c r="IE25" s="157"/>
      <c r="IF25" s="157"/>
      <c r="IG25" s="157"/>
      <c r="IH25" s="157"/>
      <c r="IJ25" s="157"/>
      <c r="IK25" s="157"/>
      <c r="IL25" s="157"/>
      <c r="IM25" s="157"/>
      <c r="IN25" s="157"/>
      <c r="IO25" s="157"/>
      <c r="IP25" s="157"/>
      <c r="IQ25" s="157"/>
      <c r="IR25" s="157"/>
      <c r="IS25" s="157"/>
      <c r="IT25" s="157"/>
      <c r="IU25" s="157"/>
      <c r="IV25" s="157"/>
      <c r="IW25" s="157"/>
      <c r="IX25" s="157"/>
      <c r="IY25" s="157"/>
      <c r="IZ25" s="157"/>
      <c r="JA25" s="157"/>
      <c r="JB25" s="157"/>
      <c r="JC25" s="157"/>
      <c r="JD25" s="157"/>
      <c r="JE25" s="157"/>
      <c r="JF25" s="157"/>
      <c r="JG25" s="157"/>
      <c r="JH25" s="157"/>
      <c r="JI25" s="157"/>
      <c r="JJ25" s="157"/>
      <c r="JK25" s="157"/>
      <c r="JL25" s="157"/>
      <c r="JM25" s="157"/>
      <c r="JN25" s="157"/>
      <c r="JO25" s="157"/>
      <c r="JP25" s="157"/>
      <c r="JQ25" s="157"/>
      <c r="JR25" s="157"/>
      <c r="JS25" s="157"/>
      <c r="JT25" s="157"/>
      <c r="JU25" s="157"/>
      <c r="JV25" s="157"/>
      <c r="JW25" s="157"/>
      <c r="JX25" s="157"/>
      <c r="JY25" s="157"/>
      <c r="JZ25" s="157"/>
      <c r="KA25" s="157"/>
      <c r="KB25" s="157"/>
      <c r="KC25" s="157"/>
      <c r="KD25" s="157"/>
      <c r="KE25" s="157"/>
      <c r="KF25" s="157"/>
      <c r="KG25" s="157"/>
      <c r="KH25" s="157"/>
      <c r="KI25" s="157"/>
      <c r="KJ25" s="157"/>
      <c r="KK25" s="157"/>
      <c r="KL25" s="157"/>
      <c r="KM25" s="157"/>
      <c r="KN25" s="157"/>
      <c r="KO25" s="157"/>
      <c r="KP25" s="157"/>
      <c r="KQ25" s="157"/>
      <c r="KR25" s="157"/>
      <c r="KS25" s="157"/>
      <c r="KT25" s="157"/>
      <c r="KU25" s="157"/>
      <c r="KV25" s="157"/>
      <c r="KW25" s="157"/>
      <c r="KX25" s="157"/>
      <c r="KY25" s="157"/>
      <c r="KZ25" s="157"/>
      <c r="LA25" s="157"/>
      <c r="LB25" s="157"/>
      <c r="LC25" s="157"/>
      <c r="LD25" s="157"/>
      <c r="LE25" s="157"/>
      <c r="LF25" s="157"/>
      <c r="LG25" s="157"/>
      <c r="LH25" s="157"/>
      <c r="LI25" s="157"/>
      <c r="LJ25" s="157"/>
      <c r="LK25" s="157"/>
      <c r="LL25" s="157"/>
      <c r="LM25" s="157"/>
      <c r="LN25" s="157"/>
      <c r="LO25" s="157"/>
      <c r="LP25" s="157"/>
      <c r="LQ25" s="157"/>
      <c r="LR25" s="157"/>
      <c r="LS25" s="157"/>
      <c r="LT25" s="157"/>
      <c r="LU25" s="157"/>
      <c r="LV25" s="157"/>
      <c r="LW25" s="157"/>
      <c r="LX25" s="157"/>
      <c r="LY25" s="157"/>
      <c r="LZ25" s="157"/>
      <c r="MA25" s="157"/>
      <c r="MB25" s="157"/>
      <c r="MC25" s="157"/>
      <c r="MD25" s="157"/>
      <c r="ME25" s="157"/>
      <c r="MF25" s="163" t="s">
        <v>86</v>
      </c>
      <c r="MG25" s="156">
        <v>18017593</v>
      </c>
      <c r="MH25" s="156">
        <v>899208</v>
      </c>
      <c r="MI25" s="156">
        <v>864579</v>
      </c>
      <c r="MJ25" s="180">
        <v>3111539</v>
      </c>
      <c r="MK25" s="157"/>
      <c r="ML25" s="156">
        <v>13301459</v>
      </c>
      <c r="MM25" s="156">
        <v>747154</v>
      </c>
      <c r="MN25" s="156">
        <v>721007</v>
      </c>
      <c r="MO25" s="180">
        <v>3111539</v>
      </c>
      <c r="MP25" s="157"/>
      <c r="MQ25" s="156">
        <v>8993554</v>
      </c>
      <c r="MR25" s="156">
        <v>595731</v>
      </c>
      <c r="MS25" s="156">
        <v>578520</v>
      </c>
      <c r="MT25" s="180">
        <v>3111539</v>
      </c>
      <c r="MU25" s="157"/>
      <c r="MV25" s="157"/>
      <c r="MW25" s="157"/>
      <c r="MX25" s="157"/>
      <c r="MY25" s="157"/>
      <c r="MZ25" s="157"/>
      <c r="NA25" s="157"/>
      <c r="NB25" s="157"/>
      <c r="NC25" s="157"/>
      <c r="ND25" s="157"/>
      <c r="NE25" s="157"/>
      <c r="NF25" s="157"/>
      <c r="NG25" s="157"/>
      <c r="NH25" s="157"/>
      <c r="NI25" s="157"/>
      <c r="NJ25" s="157"/>
      <c r="NK25" s="157"/>
      <c r="NL25" s="157"/>
      <c r="NM25" s="157"/>
      <c r="NN25" s="157"/>
      <c r="NO25" s="157"/>
      <c r="NP25" s="157"/>
      <c r="NQ25" s="157"/>
      <c r="NR25" s="157"/>
      <c r="NS25" s="157"/>
      <c r="NT25" s="157"/>
      <c r="NU25" s="157"/>
      <c r="NV25" s="157"/>
      <c r="NW25" s="157"/>
      <c r="NX25" s="157"/>
      <c r="NY25" s="157"/>
      <c r="NZ25" s="157"/>
      <c r="OA25" s="157"/>
      <c r="OB25" s="157"/>
      <c r="OC25" s="157"/>
      <c r="OD25" s="157"/>
      <c r="OE25" s="157"/>
      <c r="OF25" s="157"/>
      <c r="OG25" s="157"/>
      <c r="OH25" s="157"/>
      <c r="OI25" s="157"/>
      <c r="OJ25" s="157"/>
      <c r="OK25" s="157"/>
      <c r="OL25" s="157"/>
    </row>
    <row r="26" spans="1:402">
      <c r="IE26" s="157"/>
      <c r="IF26" s="157"/>
      <c r="IG26" s="157"/>
      <c r="IH26" s="157"/>
      <c r="IJ26" s="157"/>
      <c r="IK26" s="157"/>
      <c r="IL26" s="157"/>
      <c r="IM26" s="157"/>
      <c r="IN26" s="157"/>
      <c r="IO26" s="157"/>
      <c r="IP26" s="157"/>
      <c r="IQ26" s="157"/>
      <c r="IR26" s="157"/>
      <c r="IS26" s="157"/>
      <c r="IT26" s="157"/>
      <c r="IU26" s="157"/>
      <c r="IV26" s="157"/>
      <c r="IW26" s="157"/>
      <c r="IX26" s="157"/>
      <c r="IY26" s="157"/>
      <c r="IZ26" s="157"/>
      <c r="JA26" s="157"/>
      <c r="JB26" s="157"/>
      <c r="JC26" s="157"/>
      <c r="JD26" s="157"/>
      <c r="JE26" s="157"/>
      <c r="JF26" s="157"/>
      <c r="JG26" s="157"/>
      <c r="JH26" s="157"/>
      <c r="JI26" s="157"/>
      <c r="JJ26" s="157"/>
      <c r="JK26" s="157"/>
      <c r="JL26" s="157"/>
      <c r="JM26" s="157"/>
      <c r="JN26" s="157"/>
      <c r="JO26" s="157"/>
      <c r="JP26" s="157"/>
      <c r="JQ26" s="157"/>
      <c r="JR26" s="157"/>
      <c r="JS26" s="157"/>
      <c r="JT26" s="157"/>
      <c r="JU26" s="157"/>
      <c r="JV26" s="157"/>
      <c r="JW26" s="157"/>
      <c r="JX26" s="157"/>
      <c r="JY26" s="157"/>
      <c r="JZ26" s="157"/>
      <c r="KA26" s="157"/>
      <c r="KB26" s="157"/>
      <c r="KC26" s="157"/>
      <c r="KD26" s="157"/>
      <c r="KE26" s="157"/>
      <c r="KF26" s="157"/>
      <c r="KG26" s="157"/>
      <c r="KH26" s="157"/>
      <c r="KI26" s="157"/>
      <c r="KJ26" s="157"/>
      <c r="KK26" s="157"/>
      <c r="KL26" s="157"/>
      <c r="KM26" s="157"/>
      <c r="KN26" s="157"/>
      <c r="KO26" s="157"/>
      <c r="KP26" s="157"/>
      <c r="KQ26" s="157"/>
      <c r="KR26" s="157"/>
      <c r="KS26" s="157"/>
      <c r="KT26" s="157"/>
      <c r="KU26" s="157"/>
      <c r="KV26" s="157"/>
      <c r="KW26" s="157"/>
      <c r="KX26" s="157"/>
      <c r="KY26" s="157"/>
      <c r="KZ26" s="157"/>
      <c r="LA26" s="157"/>
      <c r="LB26" s="157"/>
      <c r="LC26" s="157"/>
      <c r="LD26" s="157"/>
      <c r="LE26" s="157"/>
      <c r="LF26" s="157"/>
      <c r="LG26" s="157"/>
      <c r="LH26" s="157"/>
      <c r="LI26" s="157"/>
      <c r="LJ26" s="157"/>
      <c r="LK26" s="157"/>
      <c r="LL26" s="157"/>
      <c r="LM26" s="157"/>
      <c r="LN26" s="157"/>
      <c r="LO26" s="157"/>
      <c r="LP26" s="157"/>
      <c r="LQ26" s="157"/>
      <c r="LR26" s="157"/>
      <c r="LS26" s="157"/>
      <c r="LT26" s="157"/>
      <c r="LU26" s="157"/>
      <c r="LV26" s="157"/>
      <c r="LW26" s="157"/>
      <c r="LX26" s="157"/>
      <c r="LY26" s="157"/>
      <c r="LZ26" s="157"/>
      <c r="MA26" s="157"/>
      <c r="MB26" s="157"/>
      <c r="MC26" s="157"/>
      <c r="MD26" s="157"/>
      <c r="ME26" s="157"/>
      <c r="MF26" s="163" t="s">
        <v>87</v>
      </c>
      <c r="MG26" s="156">
        <v>492583</v>
      </c>
      <c r="MH26" s="156">
        <v>45283</v>
      </c>
      <c r="MI26" s="156">
        <v>26837</v>
      </c>
      <c r="MJ26" s="156">
        <v>183519</v>
      </c>
      <c r="MK26" s="157"/>
      <c r="ML26" s="156">
        <v>374979</v>
      </c>
      <c r="MM26" s="156">
        <v>71552</v>
      </c>
      <c r="MN26" s="156">
        <v>59678</v>
      </c>
      <c r="MO26" s="156">
        <v>183519</v>
      </c>
      <c r="MP26" s="157"/>
      <c r="MQ26" s="156">
        <v>235207</v>
      </c>
      <c r="MR26" s="156">
        <v>33659</v>
      </c>
      <c r="MS26" s="156">
        <v>26904</v>
      </c>
      <c r="MT26" s="156">
        <v>183519</v>
      </c>
      <c r="MU26" s="157"/>
      <c r="MV26" s="157"/>
      <c r="MW26" s="157"/>
      <c r="MX26" s="157"/>
      <c r="MY26" s="157"/>
      <c r="MZ26" s="157"/>
      <c r="NA26" s="157"/>
      <c r="NB26" s="157"/>
      <c r="NC26" s="157"/>
      <c r="ND26" s="157"/>
      <c r="NE26" s="157"/>
      <c r="NF26" s="157"/>
      <c r="NG26" s="157"/>
      <c r="NH26" s="157"/>
      <c r="NI26" s="157"/>
      <c r="NJ26" s="157"/>
      <c r="NK26" s="157"/>
      <c r="NL26" s="157"/>
      <c r="NM26" s="157"/>
      <c r="NN26" s="157"/>
      <c r="NO26" s="157"/>
      <c r="NP26" s="157"/>
      <c r="NQ26" s="157"/>
      <c r="NR26" s="157"/>
      <c r="NS26" s="157"/>
      <c r="NT26" s="157"/>
      <c r="NU26" s="157"/>
      <c r="NV26" s="157"/>
      <c r="NW26" s="157"/>
      <c r="NX26" s="157"/>
      <c r="NY26" s="157"/>
      <c r="NZ26" s="157"/>
      <c r="OA26" s="157"/>
      <c r="OB26" s="157"/>
      <c r="OC26" s="157"/>
      <c r="OD26" s="157"/>
      <c r="OE26" s="157"/>
      <c r="OF26" s="157"/>
      <c r="OG26" s="157"/>
      <c r="OH26" s="157"/>
      <c r="OI26" s="157"/>
      <c r="OJ26" s="157"/>
      <c r="OK26" s="157"/>
      <c r="OL26" s="157"/>
    </row>
    <row r="27" spans="1:402">
      <c r="AG27" s="10">
        <v>1000</v>
      </c>
      <c r="AQ27" s="10">
        <v>1000</v>
      </c>
      <c r="IE27" s="157"/>
      <c r="IF27" s="157"/>
      <c r="IG27" s="157"/>
      <c r="IH27" s="157"/>
      <c r="IJ27" s="157"/>
      <c r="IK27" s="157"/>
      <c r="IL27" s="157"/>
      <c r="IM27" s="157"/>
      <c r="IN27" s="157"/>
      <c r="IO27" s="157"/>
      <c r="IP27" s="157"/>
      <c r="IQ27" s="157"/>
      <c r="IR27" s="157"/>
      <c r="IS27" s="157"/>
      <c r="IT27" s="157"/>
      <c r="IU27" s="157"/>
      <c r="IV27" s="157"/>
      <c r="IW27" s="157"/>
      <c r="IX27" s="157"/>
      <c r="IY27" s="157"/>
      <c r="IZ27" s="157"/>
      <c r="JA27" s="157"/>
      <c r="JB27" s="157"/>
      <c r="JC27" s="157"/>
      <c r="JD27" s="157"/>
      <c r="JE27" s="157"/>
      <c r="JF27" s="157"/>
      <c r="JG27" s="157"/>
      <c r="JH27" s="157"/>
      <c r="JI27" s="157"/>
      <c r="JJ27" s="157"/>
      <c r="JK27" s="157"/>
      <c r="JL27" s="157"/>
      <c r="JM27" s="157"/>
      <c r="JN27" s="157"/>
      <c r="JO27" s="157"/>
      <c r="JP27" s="157"/>
      <c r="JQ27" s="157"/>
      <c r="JR27" s="157"/>
      <c r="JS27" s="157"/>
      <c r="JT27" s="157"/>
      <c r="JU27" s="157"/>
      <c r="JV27" s="157"/>
      <c r="JW27" s="157"/>
      <c r="JX27" s="157"/>
      <c r="JY27" s="157"/>
      <c r="JZ27" s="157"/>
      <c r="KA27" s="157"/>
      <c r="KB27" s="157"/>
      <c r="KC27" s="157"/>
      <c r="KD27" s="157"/>
      <c r="KE27" s="157"/>
      <c r="KF27" s="157"/>
      <c r="KG27" s="157"/>
      <c r="KH27" s="157"/>
      <c r="KI27" s="157"/>
      <c r="KJ27" s="157"/>
      <c r="KK27" s="157"/>
      <c r="KL27" s="157"/>
      <c r="KM27" s="157"/>
      <c r="KN27" s="157"/>
      <c r="KO27" s="157"/>
      <c r="KP27" s="157"/>
      <c r="KQ27" s="157"/>
      <c r="KR27" s="157"/>
      <c r="KS27" s="157"/>
      <c r="KT27" s="157"/>
      <c r="KU27" s="157"/>
      <c r="KV27" s="157"/>
      <c r="KW27" s="157"/>
      <c r="KX27" s="157"/>
      <c r="KY27" s="157"/>
      <c r="KZ27" s="157"/>
      <c r="LA27" s="157"/>
      <c r="LB27" s="157"/>
      <c r="LC27" s="157"/>
      <c r="LD27" s="157"/>
      <c r="LE27" s="157"/>
      <c r="LF27" s="157"/>
      <c r="LG27" s="157"/>
      <c r="LH27" s="157"/>
      <c r="LI27" s="157"/>
      <c r="LJ27" s="157"/>
      <c r="LK27" s="157"/>
      <c r="LL27" s="157"/>
      <c r="LM27" s="157"/>
      <c r="LN27" s="157"/>
      <c r="LO27" s="157"/>
      <c r="LP27" s="157"/>
      <c r="LQ27" s="157"/>
      <c r="LR27" s="157"/>
      <c r="LS27" s="157"/>
      <c r="LT27" s="157"/>
      <c r="LU27" s="157"/>
      <c r="LV27" s="157"/>
      <c r="LW27" s="157"/>
      <c r="LX27" s="157"/>
      <c r="LY27" s="157"/>
      <c r="LZ27" s="157"/>
      <c r="MA27" s="157"/>
      <c r="MB27" s="157"/>
      <c r="MC27" s="157"/>
      <c r="MD27" s="157"/>
      <c r="ME27" s="157"/>
      <c r="MF27" s="173" t="s">
        <v>80</v>
      </c>
      <c r="MG27" s="170">
        <v>310212</v>
      </c>
      <c r="MH27" s="170">
        <v>17485</v>
      </c>
      <c r="MI27" s="170">
        <v>10816</v>
      </c>
      <c r="MJ27" s="170">
        <v>170774</v>
      </c>
      <c r="MK27" s="157"/>
      <c r="ML27" s="170">
        <v>233119</v>
      </c>
      <c r="MM27" s="170">
        <v>14099</v>
      </c>
      <c r="MN27" s="170">
        <v>7486</v>
      </c>
      <c r="MO27" s="170">
        <v>170774</v>
      </c>
      <c r="MP27" s="157"/>
      <c r="MQ27" s="170">
        <v>165982</v>
      </c>
      <c r="MR27" s="170">
        <v>6191</v>
      </c>
      <c r="MS27" s="170">
        <v>1763</v>
      </c>
      <c r="MT27" s="170">
        <v>170774</v>
      </c>
      <c r="MU27" s="157"/>
      <c r="MV27" s="157"/>
      <c r="MW27" s="157"/>
      <c r="MX27" s="157"/>
      <c r="MY27" s="157"/>
      <c r="MZ27" s="157"/>
      <c r="NA27" s="157"/>
      <c r="NB27" s="157"/>
      <c r="NC27" s="157"/>
      <c r="ND27" s="157"/>
      <c r="NE27" s="157"/>
      <c r="NF27" s="157"/>
      <c r="NG27" s="157"/>
      <c r="NH27" s="157"/>
      <c r="NI27" s="157"/>
      <c r="NJ27" s="157"/>
      <c r="NK27" s="157"/>
      <c r="NL27" s="157"/>
      <c r="NM27" s="157"/>
      <c r="NN27" s="157"/>
      <c r="NO27" s="157"/>
      <c r="NP27" s="157"/>
      <c r="NQ27" s="157"/>
      <c r="NR27" s="157"/>
      <c r="NS27" s="157"/>
      <c r="NT27" s="157"/>
      <c r="NU27" s="157"/>
      <c r="NV27" s="157"/>
      <c r="NW27" s="157"/>
      <c r="NX27" s="157"/>
      <c r="NY27" s="157"/>
      <c r="NZ27" s="157"/>
      <c r="OA27" s="157"/>
      <c r="OB27" s="157"/>
      <c r="OC27" s="157"/>
      <c r="OD27" s="157"/>
      <c r="OE27" s="157"/>
      <c r="OF27" s="157"/>
      <c r="OG27" s="157"/>
      <c r="OH27" s="157"/>
      <c r="OI27" s="157"/>
      <c r="OJ27" s="157"/>
      <c r="OK27" s="157"/>
      <c r="OL27" s="157"/>
    </row>
    <row r="28" spans="1:402">
      <c r="IE28" s="157"/>
      <c r="IF28" s="157"/>
      <c r="IG28" s="157"/>
      <c r="IH28" s="157"/>
      <c r="IJ28" s="157"/>
      <c r="IK28" s="157"/>
      <c r="IL28" s="157"/>
      <c r="IM28" s="157"/>
      <c r="IN28" s="157"/>
      <c r="IO28" s="157"/>
      <c r="IP28" s="157"/>
      <c r="IQ28" s="157"/>
      <c r="IR28" s="157"/>
      <c r="IS28" s="157"/>
      <c r="IT28" s="157"/>
      <c r="IU28" s="157"/>
      <c r="IV28" s="157"/>
      <c r="IW28" s="157"/>
      <c r="IX28" s="157"/>
      <c r="IY28" s="157"/>
      <c r="IZ28" s="157"/>
      <c r="JA28" s="157"/>
      <c r="JB28" s="157"/>
      <c r="JC28" s="157"/>
      <c r="JD28" s="157"/>
      <c r="JE28" s="157"/>
      <c r="JF28" s="157"/>
      <c r="JG28" s="157"/>
      <c r="JH28" s="157"/>
      <c r="JI28" s="157"/>
      <c r="JJ28" s="157"/>
      <c r="JK28" s="157"/>
      <c r="JL28" s="157"/>
      <c r="JM28" s="157"/>
      <c r="JN28" s="157"/>
      <c r="JO28" s="157"/>
      <c r="JP28" s="157"/>
      <c r="JQ28" s="157"/>
      <c r="JR28" s="157"/>
      <c r="JS28" s="157"/>
      <c r="JT28" s="157"/>
      <c r="JU28" s="157"/>
      <c r="JV28" s="157"/>
      <c r="JW28" s="157"/>
      <c r="JX28" s="157"/>
      <c r="JY28" s="157"/>
      <c r="JZ28" s="157"/>
      <c r="KA28" s="157"/>
      <c r="KB28" s="157"/>
      <c r="KC28" s="157"/>
      <c r="KD28" s="157"/>
      <c r="KE28" s="157"/>
      <c r="KF28" s="157"/>
      <c r="KG28" s="157"/>
      <c r="KH28" s="157"/>
      <c r="KI28" s="157"/>
      <c r="KJ28" s="157"/>
      <c r="KK28" s="157"/>
      <c r="KL28" s="157"/>
      <c r="KM28" s="157"/>
      <c r="KN28" s="157"/>
      <c r="KO28" s="157"/>
      <c r="KP28" s="157"/>
      <c r="KQ28" s="157"/>
      <c r="KR28" s="157"/>
      <c r="KS28" s="157"/>
      <c r="KT28" s="157"/>
      <c r="KU28" s="157"/>
      <c r="KV28" s="157"/>
      <c r="KW28" s="157"/>
      <c r="KX28" s="157"/>
      <c r="KY28" s="157"/>
      <c r="KZ28" s="157"/>
      <c r="LA28" s="157"/>
      <c r="LB28" s="157"/>
      <c r="LC28" s="157"/>
      <c r="LD28" s="157"/>
      <c r="LE28" s="157"/>
      <c r="LF28" s="157"/>
      <c r="LG28" s="157"/>
      <c r="LH28" s="157"/>
      <c r="LI28" s="157"/>
      <c r="LJ28" s="157"/>
      <c r="LK28" s="157"/>
      <c r="LL28" s="157"/>
      <c r="LM28" s="157"/>
      <c r="LN28" s="157"/>
      <c r="LO28" s="157"/>
      <c r="LP28" s="157"/>
      <c r="LQ28" s="157"/>
      <c r="LR28" s="157"/>
      <c r="LS28" s="157"/>
      <c r="LT28" s="157"/>
      <c r="LU28" s="157"/>
      <c r="LV28" s="157"/>
      <c r="LW28" s="157"/>
      <c r="LX28" s="157"/>
      <c r="LY28" s="157"/>
      <c r="LZ28" s="157"/>
      <c r="MA28" s="157"/>
      <c r="MB28" s="157"/>
      <c r="MC28" s="157"/>
      <c r="MD28" s="157"/>
      <c r="ME28" s="157"/>
      <c r="MF28" s="157"/>
      <c r="MG28" s="157"/>
      <c r="MH28" s="157"/>
      <c r="MI28" s="157"/>
      <c r="MJ28" s="157"/>
      <c r="MK28" s="157"/>
      <c r="ML28" s="157"/>
      <c r="MM28" s="157"/>
      <c r="MN28" s="157"/>
      <c r="MO28" s="157"/>
      <c r="MP28" s="157"/>
      <c r="MQ28" s="157"/>
      <c r="MR28" s="157"/>
      <c r="MS28" s="157"/>
      <c r="MT28" s="157"/>
      <c r="MU28" s="157"/>
      <c r="MV28" s="157"/>
      <c r="MW28" s="157"/>
      <c r="MX28" s="157"/>
      <c r="MY28" s="157"/>
      <c r="MZ28" s="157"/>
      <c r="NA28" s="157"/>
      <c r="NB28" s="157"/>
      <c r="NC28" s="157"/>
      <c r="ND28" s="157"/>
      <c r="NE28" s="157"/>
      <c r="NF28" s="157"/>
      <c r="NG28" s="157"/>
      <c r="NH28" s="157"/>
      <c r="NI28" s="157"/>
      <c r="NJ28" s="157"/>
      <c r="NK28" s="157"/>
      <c r="NL28" s="157"/>
      <c r="NM28" s="157"/>
      <c r="NN28" s="157"/>
      <c r="NO28" s="157"/>
      <c r="NP28" s="157"/>
      <c r="NQ28" s="157"/>
      <c r="NR28" s="157"/>
      <c r="NS28" s="157"/>
      <c r="NT28" s="157"/>
      <c r="NU28" s="157"/>
      <c r="NV28" s="157"/>
      <c r="NW28" s="157"/>
      <c r="NX28" s="157"/>
      <c r="NY28" s="157"/>
      <c r="NZ28" s="157"/>
      <c r="OA28" s="157"/>
      <c r="OB28" s="157"/>
      <c r="OC28" s="157"/>
      <c r="OD28" s="157"/>
      <c r="OE28" s="157"/>
      <c r="OF28" s="157"/>
      <c r="OG28" s="157"/>
      <c r="OH28" s="157"/>
      <c r="OI28" s="157"/>
      <c r="OJ28" s="157"/>
      <c r="OK28" s="157"/>
      <c r="OL28" s="157"/>
    </row>
    <row r="29" spans="1:402">
      <c r="IE29" s="157"/>
      <c r="IF29" s="157"/>
      <c r="IG29" s="157"/>
      <c r="IH29" s="157"/>
      <c r="IJ29" s="157"/>
      <c r="IK29" s="157"/>
      <c r="IL29" s="157"/>
      <c r="IM29" s="157"/>
      <c r="IN29" s="157"/>
      <c r="IO29" s="157"/>
      <c r="IP29" s="157"/>
      <c r="IQ29" s="157"/>
      <c r="IR29" s="157"/>
      <c r="IS29" s="157"/>
      <c r="IT29" s="157"/>
      <c r="IU29" s="157"/>
      <c r="IV29" s="157"/>
      <c r="IW29" s="157"/>
      <c r="IX29" s="157"/>
      <c r="IY29" s="157"/>
      <c r="IZ29" s="157"/>
      <c r="JA29" s="157"/>
      <c r="JB29" s="157"/>
      <c r="JC29" s="157"/>
      <c r="JD29" s="157"/>
      <c r="JE29" s="157"/>
      <c r="JF29" s="157"/>
      <c r="JG29" s="157"/>
      <c r="JH29" s="157"/>
      <c r="JI29" s="157"/>
      <c r="JJ29" s="157"/>
      <c r="JK29" s="157"/>
      <c r="JL29" s="157"/>
      <c r="JM29" s="157"/>
      <c r="JN29" s="157"/>
      <c r="JO29" s="157"/>
      <c r="JP29" s="157"/>
      <c r="JQ29" s="157"/>
      <c r="JR29" s="157"/>
      <c r="JS29" s="157"/>
      <c r="JT29" s="157"/>
      <c r="JU29" s="157"/>
      <c r="JV29" s="157"/>
      <c r="JW29" s="157"/>
      <c r="JX29" s="157"/>
      <c r="JY29" s="157"/>
      <c r="JZ29" s="157"/>
      <c r="KA29" s="157"/>
      <c r="KB29" s="157"/>
      <c r="KC29" s="157"/>
      <c r="KD29" s="157"/>
      <c r="KE29" s="157"/>
      <c r="KF29" s="157"/>
      <c r="KG29" s="157"/>
      <c r="KH29" s="157"/>
      <c r="KI29" s="157"/>
      <c r="KJ29" s="157"/>
      <c r="KK29" s="157"/>
      <c r="KL29" s="157"/>
      <c r="KM29" s="157"/>
      <c r="KN29" s="157"/>
      <c r="KO29" s="157"/>
      <c r="KP29" s="157"/>
      <c r="KQ29" s="157"/>
      <c r="KR29" s="157"/>
      <c r="KS29" s="157"/>
      <c r="KT29" s="157"/>
      <c r="KU29" s="157"/>
      <c r="KV29" s="157"/>
      <c r="KW29" s="157"/>
      <c r="KX29" s="157"/>
      <c r="KY29" s="157"/>
      <c r="KZ29" s="157"/>
      <c r="LA29" s="157"/>
      <c r="LB29" s="157"/>
      <c r="LC29" s="157"/>
      <c r="LD29" s="157"/>
      <c r="LE29" s="157"/>
      <c r="LF29" s="157"/>
      <c r="LG29" s="157"/>
      <c r="LH29" s="157"/>
      <c r="LI29" s="157"/>
      <c r="LJ29" s="157"/>
      <c r="LK29" s="157"/>
      <c r="LL29" s="157"/>
      <c r="LM29" s="157"/>
      <c r="LN29" s="157"/>
      <c r="LO29" s="157"/>
      <c r="LP29" s="157"/>
      <c r="LQ29" s="157"/>
      <c r="LR29" s="157"/>
      <c r="LS29" s="157"/>
      <c r="LT29" s="157"/>
      <c r="LU29" s="157"/>
      <c r="LV29" s="157"/>
      <c r="LW29" s="157"/>
      <c r="LX29" s="157"/>
      <c r="LY29" s="157"/>
      <c r="LZ29" s="157"/>
      <c r="MA29" s="157"/>
      <c r="MB29" s="157"/>
      <c r="MC29" s="157"/>
      <c r="MD29" s="157"/>
      <c r="ME29" s="157"/>
      <c r="MF29" s="157"/>
      <c r="MG29" s="157"/>
      <c r="MH29" s="157"/>
      <c r="MI29" s="157"/>
      <c r="MJ29" s="157"/>
      <c r="MK29" s="157"/>
      <c r="ML29" s="157"/>
      <c r="MM29" s="157"/>
      <c r="MN29" s="157"/>
      <c r="MO29" s="157"/>
      <c r="MP29" s="157"/>
      <c r="MQ29" s="157"/>
      <c r="MR29" s="157"/>
      <c r="MS29" s="157"/>
      <c r="MT29" s="157"/>
      <c r="MU29" s="157"/>
      <c r="MV29" s="157"/>
      <c r="MW29" s="157"/>
      <c r="MX29" s="157"/>
      <c r="MY29" s="157"/>
      <c r="MZ29" s="157"/>
      <c r="NA29" s="157"/>
      <c r="NB29" s="157"/>
      <c r="NC29" s="157"/>
      <c r="ND29" s="157"/>
      <c r="NE29" s="157"/>
      <c r="NF29" s="157"/>
      <c r="NG29" s="157"/>
      <c r="NH29" s="157"/>
      <c r="NI29" s="157"/>
      <c r="NJ29" s="157"/>
      <c r="NK29" s="157"/>
      <c r="NL29" s="157"/>
      <c r="NM29" s="157"/>
      <c r="NN29" s="157"/>
      <c r="NO29" s="157"/>
      <c r="NP29" s="157"/>
      <c r="NQ29" s="157"/>
      <c r="NR29" s="157"/>
      <c r="NS29" s="157"/>
      <c r="NT29" s="157"/>
      <c r="NU29" s="157"/>
      <c r="NV29" s="157"/>
      <c r="NW29" s="157"/>
      <c r="NX29" s="157"/>
      <c r="NY29" s="157"/>
      <c r="NZ29" s="157"/>
      <c r="OA29" s="157"/>
      <c r="OB29" s="157"/>
      <c r="OC29" s="157"/>
      <c r="OD29" s="157"/>
      <c r="OE29" s="157"/>
      <c r="OF29" s="157"/>
      <c r="OG29" s="157"/>
      <c r="OH29" s="157"/>
      <c r="OI29" s="157"/>
      <c r="OJ29" s="157"/>
      <c r="OK29" s="157"/>
      <c r="OL29" s="157"/>
    </row>
    <row r="30" spans="1:402">
      <c r="IE30" s="157"/>
      <c r="IF30" s="157"/>
      <c r="IG30" s="157"/>
      <c r="IH30" s="157"/>
      <c r="IJ30" s="157"/>
      <c r="IK30" s="157"/>
      <c r="IL30" s="157"/>
      <c r="IM30" s="157"/>
      <c r="IN30" s="157"/>
      <c r="IO30" s="157"/>
      <c r="IP30" s="157"/>
      <c r="IQ30" s="157"/>
      <c r="IR30" s="157"/>
      <c r="IS30" s="157"/>
      <c r="IT30" s="157"/>
      <c r="IU30" s="157"/>
      <c r="IV30" s="157"/>
      <c r="IW30" s="157"/>
      <c r="IX30" s="157"/>
      <c r="IY30" s="157"/>
      <c r="IZ30" s="157"/>
      <c r="JA30" s="157"/>
      <c r="JB30" s="157"/>
      <c r="JC30" s="157"/>
      <c r="JD30" s="157"/>
      <c r="JE30" s="157"/>
      <c r="JF30" s="157"/>
      <c r="JG30" s="157"/>
      <c r="JH30" s="157"/>
      <c r="JI30" s="157"/>
      <c r="JJ30" s="157"/>
      <c r="JK30" s="157"/>
      <c r="JL30" s="157"/>
      <c r="JM30" s="157"/>
      <c r="JN30" s="157"/>
      <c r="JO30" s="157"/>
      <c r="JP30" s="157"/>
      <c r="JQ30" s="157"/>
      <c r="JR30" s="157"/>
      <c r="JS30" s="157"/>
      <c r="JT30" s="157"/>
      <c r="JU30" s="157"/>
      <c r="JV30" s="157"/>
      <c r="JW30" s="157"/>
      <c r="JX30" s="157"/>
      <c r="JY30" s="157"/>
      <c r="JZ30" s="157"/>
      <c r="KA30" s="157"/>
      <c r="KB30" s="157"/>
      <c r="KC30" s="157"/>
      <c r="KD30" s="157"/>
      <c r="KE30" s="157"/>
      <c r="KF30" s="157"/>
      <c r="KG30" s="157"/>
      <c r="KH30" s="157"/>
      <c r="KI30" s="157"/>
      <c r="KJ30" s="157"/>
      <c r="KK30" s="157"/>
      <c r="KL30" s="157"/>
      <c r="KM30" s="157"/>
      <c r="KN30" s="157"/>
      <c r="KO30" s="157"/>
      <c r="KP30" s="157"/>
      <c r="KQ30" s="157"/>
      <c r="KR30" s="157"/>
      <c r="KS30" s="157"/>
      <c r="KT30" s="157"/>
      <c r="KU30" s="157"/>
      <c r="KV30" s="157"/>
      <c r="KW30" s="157"/>
      <c r="KX30" s="157"/>
      <c r="KY30" s="157"/>
      <c r="KZ30" s="157"/>
      <c r="LA30" s="157"/>
      <c r="LB30" s="157"/>
      <c r="LC30" s="157"/>
      <c r="LD30" s="157"/>
      <c r="LE30" s="157"/>
      <c r="LF30" s="157"/>
      <c r="LG30" s="157"/>
      <c r="LH30" s="157"/>
      <c r="LI30" s="157"/>
      <c r="LJ30" s="157"/>
      <c r="LK30" s="157"/>
      <c r="LL30" s="157"/>
      <c r="LM30" s="157"/>
      <c r="LN30" s="157"/>
      <c r="LO30" s="157"/>
      <c r="LP30" s="157"/>
      <c r="LQ30" s="157"/>
      <c r="LR30" s="157"/>
      <c r="LS30" s="157"/>
      <c r="LT30" s="157"/>
      <c r="LU30" s="157"/>
      <c r="LV30" s="157"/>
      <c r="LW30" s="157"/>
      <c r="LX30" s="157"/>
      <c r="LY30" s="157"/>
      <c r="LZ30" s="157"/>
      <c r="MA30" s="157"/>
      <c r="MB30" s="157"/>
      <c r="MC30" s="157"/>
      <c r="MD30" s="157"/>
      <c r="ME30" s="157"/>
      <c r="MF30" s="157"/>
      <c r="MG30" s="157"/>
      <c r="MH30" s="157"/>
      <c r="MI30" s="157"/>
      <c r="MJ30" s="157"/>
      <c r="MK30" s="157"/>
      <c r="ML30" s="157"/>
      <c r="MM30" s="157"/>
      <c r="MN30" s="157"/>
      <c r="MO30" s="157"/>
      <c r="MP30" s="157"/>
      <c r="MQ30" s="157"/>
      <c r="MR30" s="157"/>
      <c r="MS30" s="157"/>
      <c r="MT30" s="157"/>
      <c r="MU30" s="157"/>
      <c r="MV30" s="157"/>
      <c r="MW30" s="157"/>
      <c r="MX30" s="157"/>
      <c r="MY30" s="157"/>
      <c r="MZ30" s="157"/>
      <c r="NA30" s="157"/>
      <c r="NB30" s="157"/>
      <c r="NC30" s="157"/>
      <c r="ND30" s="157"/>
      <c r="NE30" s="157"/>
      <c r="NF30" s="157"/>
      <c r="NG30" s="157"/>
      <c r="NH30" s="157"/>
      <c r="NI30" s="157"/>
      <c r="NJ30" s="157"/>
      <c r="NK30" s="157"/>
      <c r="NL30" s="157"/>
      <c r="NM30" s="157"/>
      <c r="NN30" s="157"/>
      <c r="NO30" s="157"/>
      <c r="NP30" s="157"/>
      <c r="NQ30" s="157"/>
      <c r="NR30" s="157"/>
      <c r="NS30" s="157"/>
      <c r="NT30" s="157"/>
      <c r="NU30" s="157"/>
      <c r="NV30" s="157"/>
      <c r="NW30" s="157"/>
      <c r="NX30" s="157"/>
      <c r="NY30" s="157"/>
      <c r="NZ30" s="157"/>
      <c r="OA30" s="157"/>
      <c r="OB30" s="157"/>
      <c r="OC30" s="157"/>
      <c r="OD30" s="157"/>
      <c r="OE30" s="157"/>
      <c r="OF30" s="157"/>
      <c r="OG30" s="157"/>
      <c r="OH30" s="157"/>
      <c r="OI30" s="157"/>
      <c r="OJ30" s="157"/>
      <c r="OK30" s="157"/>
      <c r="OL30" s="157"/>
    </row>
    <row r="31" spans="1:402" ht="51">
      <c r="IE31" s="157"/>
      <c r="IF31" s="157"/>
      <c r="IG31" s="157"/>
      <c r="IH31" s="157"/>
      <c r="IJ31" s="157"/>
      <c r="IK31" s="157"/>
      <c r="IL31" s="157"/>
      <c r="IM31" s="157"/>
      <c r="IN31" s="157"/>
      <c r="IO31" s="157"/>
      <c r="IP31" s="157"/>
      <c r="IQ31" s="157"/>
      <c r="IR31" s="157"/>
      <c r="IS31" s="157"/>
      <c r="IT31" s="157"/>
      <c r="IU31" s="157"/>
      <c r="IV31" s="157"/>
      <c r="IW31" s="157"/>
      <c r="IX31" s="157"/>
      <c r="IY31" s="157"/>
      <c r="IZ31" s="157"/>
      <c r="JA31" s="157"/>
      <c r="JB31" s="157"/>
      <c r="JC31" s="157"/>
      <c r="JD31" s="157"/>
      <c r="JE31" s="157"/>
      <c r="JF31" s="157"/>
      <c r="JG31" s="157"/>
      <c r="JH31" s="157"/>
      <c r="JI31" s="157"/>
      <c r="JJ31" s="157"/>
      <c r="JK31" s="157"/>
      <c r="JL31" s="157"/>
      <c r="JM31" s="157"/>
      <c r="JN31" s="157"/>
      <c r="JO31" s="157"/>
      <c r="JP31" s="157"/>
      <c r="JQ31" s="157"/>
      <c r="JR31" s="157"/>
      <c r="JS31" s="157"/>
      <c r="JT31" s="157"/>
      <c r="JU31" s="157"/>
      <c r="JV31" s="157"/>
      <c r="JW31" s="157"/>
      <c r="JX31" s="157"/>
      <c r="JY31" s="157"/>
      <c r="JZ31" s="157"/>
      <c r="KA31" s="157"/>
      <c r="KB31" s="157"/>
      <c r="KC31" s="157"/>
      <c r="KD31" s="157"/>
      <c r="KE31" s="157"/>
      <c r="KF31" s="157"/>
      <c r="KG31" s="157"/>
      <c r="KH31" s="157"/>
      <c r="KI31" s="157"/>
      <c r="KJ31" s="157"/>
      <c r="KK31" s="157"/>
      <c r="KL31" s="157"/>
      <c r="KM31" s="157"/>
      <c r="KN31" s="157"/>
      <c r="KO31" s="157"/>
      <c r="KP31" s="157"/>
      <c r="KQ31" s="157"/>
      <c r="KR31" s="157"/>
      <c r="KS31" s="157"/>
      <c r="KT31" s="157"/>
      <c r="KU31" s="157"/>
      <c r="KV31" s="157"/>
      <c r="KW31" s="157"/>
      <c r="KX31" s="157"/>
      <c r="KY31" s="157"/>
      <c r="KZ31" s="157"/>
      <c r="LA31" s="157"/>
      <c r="LB31" s="157"/>
      <c r="LC31" s="157"/>
      <c r="LD31" s="157"/>
      <c r="LE31" s="157"/>
      <c r="LF31" s="157"/>
      <c r="LG31" s="157"/>
      <c r="LH31" s="157"/>
      <c r="LI31" s="157"/>
      <c r="LJ31" s="157"/>
      <c r="LK31" s="157"/>
      <c r="LL31" s="157"/>
      <c r="LM31" s="157"/>
      <c r="LN31" s="157"/>
      <c r="LO31" s="157"/>
      <c r="LP31" s="157"/>
      <c r="LQ31" s="157"/>
      <c r="LR31" s="157"/>
      <c r="LS31" s="157"/>
      <c r="LT31" s="157"/>
      <c r="LU31" s="157"/>
      <c r="LV31" s="157"/>
      <c r="LW31" s="157"/>
      <c r="LX31" s="157"/>
      <c r="LY31" s="157"/>
      <c r="LZ31" s="157"/>
      <c r="MA31" s="157"/>
      <c r="MB31" s="157"/>
      <c r="MC31" s="157"/>
      <c r="MD31" s="157"/>
      <c r="ME31" s="157"/>
      <c r="MF31" s="178" t="s">
        <v>374</v>
      </c>
      <c r="MG31" s="160" t="s">
        <v>182</v>
      </c>
      <c r="MH31" s="160" t="s">
        <v>93</v>
      </c>
      <c r="MI31" s="160" t="s">
        <v>94</v>
      </c>
      <c r="MJ31" s="160" t="s">
        <v>179</v>
      </c>
      <c r="MK31" s="157"/>
      <c r="ML31" s="160" t="s">
        <v>187</v>
      </c>
      <c r="MM31" s="160" t="s">
        <v>188</v>
      </c>
      <c r="MN31" s="160" t="s">
        <v>189</v>
      </c>
      <c r="MO31" s="160" t="s">
        <v>191</v>
      </c>
      <c r="MP31" s="157"/>
      <c r="MQ31" s="160" t="s">
        <v>193</v>
      </c>
      <c r="MR31" s="160" t="s">
        <v>99</v>
      </c>
      <c r="MS31" s="160" t="s">
        <v>100</v>
      </c>
      <c r="MT31" s="160" t="s">
        <v>196</v>
      </c>
      <c r="MU31" s="157"/>
      <c r="MV31" s="157"/>
      <c r="MW31" s="157"/>
      <c r="MX31" s="157"/>
      <c r="MY31" s="157"/>
      <c r="MZ31" s="157"/>
      <c r="NA31" s="157"/>
      <c r="NB31" s="157"/>
      <c r="NC31" s="157"/>
      <c r="ND31" s="157"/>
      <c r="NE31" s="157"/>
      <c r="NF31" s="157"/>
      <c r="NG31" s="157"/>
      <c r="NH31" s="157"/>
      <c r="NI31" s="157"/>
      <c r="NJ31" s="157"/>
      <c r="NK31" s="157"/>
      <c r="NL31" s="157"/>
      <c r="NM31" s="157"/>
      <c r="NN31" s="157"/>
      <c r="NO31" s="157"/>
      <c r="NP31" s="157"/>
      <c r="NQ31" s="157"/>
      <c r="NR31" s="157"/>
      <c r="NS31" s="157"/>
      <c r="NT31" s="157"/>
      <c r="NU31" s="157"/>
      <c r="NV31" s="157"/>
      <c r="NW31" s="157"/>
      <c r="NX31" s="157"/>
      <c r="NY31" s="157"/>
      <c r="NZ31" s="157"/>
      <c r="OA31" s="157"/>
      <c r="OB31" s="157"/>
      <c r="OC31" s="157"/>
      <c r="OD31" s="157"/>
      <c r="OE31" s="157"/>
      <c r="OF31" s="157"/>
      <c r="OG31" s="157"/>
      <c r="OH31" s="157"/>
      <c r="OI31" s="157"/>
      <c r="OJ31" s="157"/>
      <c r="OK31" s="157"/>
      <c r="OL31" s="157"/>
    </row>
    <row r="32" spans="1:402">
      <c r="IE32" s="157"/>
      <c r="IF32" s="157"/>
      <c r="IG32" s="157"/>
      <c r="IH32" s="157"/>
      <c r="IJ32" s="157"/>
      <c r="IK32" s="157"/>
      <c r="IL32" s="157"/>
      <c r="IM32" s="157"/>
      <c r="IN32" s="157"/>
      <c r="IO32" s="157"/>
      <c r="IP32" s="157"/>
      <c r="IQ32" s="157"/>
      <c r="IR32" s="157"/>
      <c r="IS32" s="157"/>
      <c r="IT32" s="157"/>
      <c r="IU32" s="157"/>
      <c r="IV32" s="157"/>
      <c r="IW32" s="157"/>
      <c r="IX32" s="157"/>
      <c r="IY32" s="157"/>
      <c r="IZ32" s="157"/>
      <c r="JA32" s="157"/>
      <c r="JB32" s="157"/>
      <c r="JC32" s="157"/>
      <c r="JD32" s="157"/>
      <c r="JE32" s="157"/>
      <c r="JF32" s="157"/>
      <c r="JG32" s="157"/>
      <c r="JH32" s="157"/>
      <c r="JI32" s="157"/>
      <c r="JJ32" s="157"/>
      <c r="JK32" s="157"/>
      <c r="JL32" s="157"/>
      <c r="JM32" s="157"/>
      <c r="JN32" s="157"/>
      <c r="JO32" s="157"/>
      <c r="JP32" s="157"/>
      <c r="JQ32" s="157"/>
      <c r="JR32" s="157"/>
      <c r="JS32" s="157"/>
      <c r="JT32" s="157"/>
      <c r="JU32" s="157"/>
      <c r="JV32" s="157"/>
      <c r="JW32" s="157"/>
      <c r="JX32" s="157"/>
      <c r="JY32" s="157"/>
      <c r="JZ32" s="157"/>
      <c r="KA32" s="157"/>
      <c r="KB32" s="157"/>
      <c r="KC32" s="157"/>
      <c r="KD32" s="157"/>
      <c r="KE32" s="157"/>
      <c r="KF32" s="157"/>
      <c r="KG32" s="157"/>
      <c r="KH32" s="157"/>
      <c r="KI32" s="157"/>
      <c r="KJ32" s="157"/>
      <c r="KK32" s="157"/>
      <c r="KL32" s="157"/>
      <c r="KM32" s="157"/>
      <c r="KN32" s="157"/>
      <c r="KO32" s="157"/>
      <c r="KP32" s="157"/>
      <c r="KQ32" s="157"/>
      <c r="KR32" s="157"/>
      <c r="KS32" s="157"/>
      <c r="KT32" s="157"/>
      <c r="KU32" s="157"/>
      <c r="KV32" s="157"/>
      <c r="KW32" s="157"/>
      <c r="KX32" s="157"/>
      <c r="KY32" s="157"/>
      <c r="KZ32" s="157"/>
      <c r="LA32" s="157"/>
      <c r="LB32" s="157"/>
      <c r="LC32" s="157"/>
      <c r="LD32" s="157"/>
      <c r="LE32" s="157"/>
      <c r="LF32" s="157"/>
      <c r="LG32" s="157"/>
      <c r="LH32" s="157"/>
      <c r="LI32" s="157"/>
      <c r="LJ32" s="157"/>
      <c r="LK32" s="157"/>
      <c r="LL32" s="157"/>
      <c r="LM32" s="157"/>
      <c r="LN32" s="157"/>
      <c r="LO32" s="157"/>
      <c r="LP32" s="157"/>
      <c r="LQ32" s="157"/>
      <c r="LR32" s="157"/>
      <c r="LS32" s="157"/>
      <c r="LT32" s="157"/>
      <c r="LU32" s="157"/>
      <c r="LV32" s="157"/>
      <c r="LW32" s="157"/>
      <c r="LX32" s="157"/>
      <c r="LY32" s="157"/>
      <c r="LZ32" s="157"/>
      <c r="MA32" s="157"/>
      <c r="MB32" s="157"/>
      <c r="MC32" s="157"/>
      <c r="MD32" s="157"/>
      <c r="ME32" s="157"/>
      <c r="MF32" s="164" t="s">
        <v>81</v>
      </c>
      <c r="MG32" s="162">
        <v>323181</v>
      </c>
      <c r="MH32" s="162">
        <v>14932</v>
      </c>
      <c r="MI32" s="162">
        <v>-12176</v>
      </c>
      <c r="MJ32" s="162">
        <v>1742510</v>
      </c>
      <c r="MK32" s="157"/>
      <c r="ML32" s="162">
        <v>341431</v>
      </c>
      <c r="MM32" s="162">
        <v>55306</v>
      </c>
      <c r="MN32" s="162">
        <v>29132</v>
      </c>
      <c r="MO32" s="162">
        <v>1666780</v>
      </c>
      <c r="MP32" s="157"/>
      <c r="MQ32" s="162">
        <v>281247</v>
      </c>
      <c r="MR32" s="162">
        <v>8471</v>
      </c>
      <c r="MS32" s="162">
        <v>-16826</v>
      </c>
      <c r="MT32" s="162">
        <v>1640587</v>
      </c>
      <c r="MU32" s="157"/>
      <c r="MV32" s="157"/>
      <c r="MW32" s="157"/>
      <c r="MX32" s="157"/>
      <c r="MY32" s="157"/>
      <c r="MZ32" s="157"/>
      <c r="NA32" s="157"/>
      <c r="NB32" s="157"/>
      <c r="NC32" s="157"/>
      <c r="ND32" s="157"/>
      <c r="NE32" s="157"/>
      <c r="NF32" s="157"/>
      <c r="NG32" s="157"/>
      <c r="NH32" s="157"/>
      <c r="NI32" s="157"/>
      <c r="NJ32" s="157"/>
      <c r="NK32" s="157"/>
      <c r="NL32" s="157"/>
      <c r="NM32" s="157"/>
      <c r="NN32" s="157"/>
      <c r="NO32" s="157"/>
      <c r="NP32" s="157"/>
      <c r="NQ32" s="157"/>
      <c r="NR32" s="157"/>
      <c r="NS32" s="157"/>
      <c r="NT32" s="157"/>
      <c r="NU32" s="157"/>
      <c r="NV32" s="157"/>
      <c r="NW32" s="157"/>
      <c r="NX32" s="157"/>
      <c r="NY32" s="157"/>
      <c r="NZ32" s="157"/>
      <c r="OA32" s="157"/>
      <c r="OB32" s="157"/>
      <c r="OC32" s="157"/>
      <c r="OD32" s="157"/>
      <c r="OE32" s="157"/>
      <c r="OF32" s="157"/>
      <c r="OG32" s="157"/>
      <c r="OH32" s="157"/>
      <c r="OI32" s="157"/>
      <c r="OJ32" s="157"/>
      <c r="OK32" s="157"/>
      <c r="OL32" s="157"/>
    </row>
    <row r="33" spans="239:402">
      <c r="IE33" s="157"/>
      <c r="IF33" s="157"/>
      <c r="IG33" s="157"/>
      <c r="IH33" s="157"/>
      <c r="IJ33" s="157"/>
      <c r="IK33" s="157"/>
      <c r="IL33" s="157"/>
      <c r="IM33" s="157"/>
      <c r="IN33" s="157"/>
      <c r="IO33" s="157"/>
      <c r="IP33" s="157"/>
      <c r="IQ33" s="157"/>
      <c r="IR33" s="157"/>
      <c r="IS33" s="157"/>
      <c r="IT33" s="157"/>
      <c r="IU33" s="157"/>
      <c r="IV33" s="157"/>
      <c r="IW33" s="157"/>
      <c r="IX33" s="157"/>
      <c r="IY33" s="157"/>
      <c r="IZ33" s="157"/>
      <c r="JA33" s="157"/>
      <c r="JB33" s="157"/>
      <c r="JC33" s="157"/>
      <c r="JD33" s="157"/>
      <c r="JE33" s="157"/>
      <c r="JF33" s="157"/>
      <c r="JG33" s="157"/>
      <c r="JH33" s="157"/>
      <c r="JI33" s="157"/>
      <c r="JJ33" s="157"/>
      <c r="JK33" s="157"/>
      <c r="JL33" s="157"/>
      <c r="JM33" s="157"/>
      <c r="JN33" s="157"/>
      <c r="JO33" s="157"/>
      <c r="JP33" s="157"/>
      <c r="JQ33" s="157"/>
      <c r="JR33" s="157"/>
      <c r="JS33" s="157"/>
      <c r="JT33" s="157"/>
      <c r="JU33" s="157"/>
      <c r="JV33" s="157"/>
      <c r="JW33" s="157"/>
      <c r="JX33" s="157"/>
      <c r="JY33" s="157"/>
      <c r="JZ33" s="157"/>
      <c r="KA33" s="157"/>
      <c r="KB33" s="157"/>
      <c r="KC33" s="157"/>
      <c r="KD33" s="157"/>
      <c r="KE33" s="157"/>
      <c r="KF33" s="157"/>
      <c r="KG33" s="157"/>
      <c r="KH33" s="157"/>
      <c r="KI33" s="157"/>
      <c r="KJ33" s="157"/>
      <c r="KK33" s="157"/>
      <c r="KL33" s="157"/>
      <c r="KM33" s="157"/>
      <c r="KN33" s="157"/>
      <c r="KO33" s="157"/>
      <c r="KP33" s="157"/>
      <c r="KQ33" s="157"/>
      <c r="KR33" s="157"/>
      <c r="KS33" s="157"/>
      <c r="KT33" s="157"/>
      <c r="KU33" s="157"/>
      <c r="KV33" s="157"/>
      <c r="KW33" s="157"/>
      <c r="KX33" s="157"/>
      <c r="KY33" s="157"/>
      <c r="KZ33" s="157"/>
      <c r="LA33" s="157"/>
      <c r="LB33" s="157"/>
      <c r="LC33" s="157"/>
      <c r="LD33" s="157"/>
      <c r="LE33" s="157"/>
      <c r="LF33" s="157"/>
      <c r="LG33" s="157"/>
      <c r="LH33" s="157"/>
      <c r="LI33" s="157"/>
      <c r="LJ33" s="157"/>
      <c r="LK33" s="157"/>
      <c r="LL33" s="157"/>
      <c r="LM33" s="157"/>
      <c r="LN33" s="157"/>
      <c r="LO33" s="157"/>
      <c r="LP33" s="157"/>
      <c r="LQ33" s="157"/>
      <c r="LR33" s="157"/>
      <c r="LS33" s="157"/>
      <c r="LT33" s="157"/>
      <c r="LU33" s="157"/>
      <c r="LV33" s="157"/>
      <c r="LW33" s="157"/>
      <c r="LX33" s="157"/>
      <c r="LY33" s="157"/>
      <c r="LZ33" s="157"/>
      <c r="MA33" s="157"/>
      <c r="MB33" s="157"/>
      <c r="MC33" s="157"/>
      <c r="MD33" s="157"/>
      <c r="ME33" s="157"/>
      <c r="MF33" s="163" t="s">
        <v>82</v>
      </c>
      <c r="MG33" s="156">
        <v>913384</v>
      </c>
      <c r="MH33" s="156">
        <v>51694</v>
      </c>
      <c r="MI33" s="156">
        <v>-34993</v>
      </c>
      <c r="MJ33" s="180">
        <v>8393127</v>
      </c>
      <c r="MK33" s="157"/>
      <c r="ML33" s="156">
        <v>832114</v>
      </c>
      <c r="MM33" s="156">
        <v>73153</v>
      </c>
      <c r="MN33" s="156">
        <v>-43546</v>
      </c>
      <c r="MO33" s="180">
        <v>7636136</v>
      </c>
      <c r="MP33" s="157"/>
      <c r="MQ33" s="156">
        <v>716925</v>
      </c>
      <c r="MR33" s="156">
        <v>59507</v>
      </c>
      <c r="MS33" s="156">
        <v>-58572</v>
      </c>
      <c r="MT33" s="180">
        <v>7741435</v>
      </c>
      <c r="MU33" s="157"/>
      <c r="MV33" s="157"/>
      <c r="MW33" s="157"/>
      <c r="MX33" s="157"/>
      <c r="MY33" s="157"/>
      <c r="MZ33" s="157"/>
      <c r="NA33" s="157"/>
      <c r="NB33" s="157"/>
      <c r="NC33" s="157"/>
      <c r="ND33" s="157"/>
      <c r="NE33" s="157"/>
      <c r="NF33" s="157"/>
      <c r="NG33" s="157"/>
      <c r="NH33" s="157"/>
      <c r="NI33" s="157"/>
      <c r="NJ33" s="157"/>
      <c r="NK33" s="157"/>
      <c r="NL33" s="157"/>
      <c r="NM33" s="157"/>
      <c r="NN33" s="157"/>
      <c r="NO33" s="157"/>
      <c r="NP33" s="157"/>
      <c r="NQ33" s="157"/>
      <c r="NR33" s="157"/>
      <c r="NS33" s="157"/>
      <c r="NT33" s="157"/>
      <c r="NU33" s="157"/>
      <c r="NV33" s="157"/>
      <c r="NW33" s="157"/>
      <c r="NX33" s="157"/>
      <c r="NY33" s="157"/>
      <c r="NZ33" s="157"/>
      <c r="OA33" s="157"/>
      <c r="OB33" s="157"/>
      <c r="OC33" s="157"/>
      <c r="OD33" s="157"/>
      <c r="OE33" s="157"/>
      <c r="OF33" s="157"/>
      <c r="OG33" s="157"/>
      <c r="OH33" s="157"/>
      <c r="OI33" s="157"/>
      <c r="OJ33" s="157"/>
      <c r="OK33" s="157"/>
      <c r="OL33" s="157"/>
    </row>
    <row r="34" spans="239:402">
      <c r="IE34" s="157"/>
      <c r="IF34" s="157"/>
      <c r="IG34" s="157"/>
      <c r="IH34" s="157"/>
      <c r="IJ34" s="157"/>
      <c r="IK34" s="157"/>
      <c r="IL34" s="157"/>
      <c r="IM34" s="157"/>
      <c r="IN34" s="157"/>
      <c r="IO34" s="157"/>
      <c r="IP34" s="157"/>
      <c r="IQ34" s="157"/>
      <c r="IR34" s="157"/>
      <c r="IS34" s="157"/>
      <c r="IT34" s="157"/>
      <c r="IU34" s="157"/>
      <c r="IV34" s="157"/>
      <c r="IW34" s="157"/>
      <c r="IX34" s="157"/>
      <c r="IY34" s="157"/>
      <c r="IZ34" s="157"/>
      <c r="JA34" s="157"/>
      <c r="JB34" s="157"/>
      <c r="JC34" s="157"/>
      <c r="JD34" s="157"/>
      <c r="JE34" s="157"/>
      <c r="JF34" s="157"/>
      <c r="JG34" s="157"/>
      <c r="JH34" s="157"/>
      <c r="JI34" s="157"/>
      <c r="JJ34" s="157"/>
      <c r="JK34" s="157"/>
      <c r="JL34" s="157"/>
      <c r="JM34" s="157"/>
      <c r="JN34" s="157"/>
      <c r="JO34" s="157"/>
      <c r="JP34" s="157"/>
      <c r="JQ34" s="157"/>
      <c r="JR34" s="157"/>
      <c r="JS34" s="157"/>
      <c r="JT34" s="157"/>
      <c r="JU34" s="157"/>
      <c r="JV34" s="157"/>
      <c r="JW34" s="157"/>
      <c r="JX34" s="157"/>
      <c r="JY34" s="157"/>
      <c r="JZ34" s="157"/>
      <c r="KA34" s="157"/>
      <c r="KB34" s="157"/>
      <c r="KC34" s="157"/>
      <c r="KD34" s="157"/>
      <c r="KE34" s="157"/>
      <c r="KF34" s="157"/>
      <c r="KG34" s="157"/>
      <c r="KH34" s="157"/>
      <c r="KI34" s="157"/>
      <c r="KJ34" s="157"/>
      <c r="KK34" s="157"/>
      <c r="KL34" s="157"/>
      <c r="KM34" s="157"/>
      <c r="KN34" s="157"/>
      <c r="KO34" s="157"/>
      <c r="KP34" s="157"/>
      <c r="KQ34" s="157"/>
      <c r="KR34" s="157"/>
      <c r="KS34" s="157"/>
      <c r="KT34" s="157"/>
      <c r="KU34" s="157"/>
      <c r="KV34" s="157"/>
      <c r="KW34" s="157"/>
      <c r="KX34" s="157"/>
      <c r="KY34" s="157"/>
      <c r="KZ34" s="157"/>
      <c r="LA34" s="157"/>
      <c r="LB34" s="157"/>
      <c r="LC34" s="157"/>
      <c r="LD34" s="157"/>
      <c r="LE34" s="157"/>
      <c r="LF34" s="157"/>
      <c r="LG34" s="157"/>
      <c r="LH34" s="157"/>
      <c r="LI34" s="157"/>
      <c r="LJ34" s="157"/>
      <c r="LK34" s="157"/>
      <c r="LL34" s="157"/>
      <c r="LM34" s="157"/>
      <c r="LN34" s="157"/>
      <c r="LO34" s="157"/>
      <c r="LP34" s="157"/>
      <c r="LQ34" s="157"/>
      <c r="LR34" s="157"/>
      <c r="LS34" s="157"/>
      <c r="LT34" s="157"/>
      <c r="LU34" s="157"/>
      <c r="LV34" s="157"/>
      <c r="LW34" s="157"/>
      <c r="LX34" s="157"/>
      <c r="LY34" s="157"/>
      <c r="LZ34" s="157"/>
      <c r="MA34" s="157"/>
      <c r="MB34" s="157"/>
      <c r="MC34" s="157"/>
      <c r="MD34" s="157"/>
      <c r="ME34" s="157"/>
      <c r="MF34" s="163" t="s">
        <v>83</v>
      </c>
      <c r="MG34" s="156">
        <v>65019</v>
      </c>
      <c r="MH34" s="156">
        <v>37748</v>
      </c>
      <c r="MI34" s="156">
        <v>20234</v>
      </c>
      <c r="MJ34" s="180">
        <v>1985920</v>
      </c>
      <c r="MK34" s="157"/>
      <c r="ML34" s="156">
        <v>71079</v>
      </c>
      <c r="MM34" s="156">
        <v>45702</v>
      </c>
      <c r="MN34" s="156">
        <v>25694</v>
      </c>
      <c r="MO34" s="180">
        <v>1929270</v>
      </c>
      <c r="MP34" s="157"/>
      <c r="MQ34" s="156">
        <v>64784</v>
      </c>
      <c r="MR34" s="156">
        <v>40730</v>
      </c>
      <c r="MS34" s="156">
        <v>20707</v>
      </c>
      <c r="MT34" s="180">
        <v>1929486</v>
      </c>
      <c r="MU34" s="157"/>
      <c r="MV34" s="157"/>
      <c r="MW34" s="157"/>
      <c r="MX34" s="157"/>
      <c r="MY34" s="157"/>
      <c r="MZ34" s="157"/>
      <c r="NA34" s="157"/>
      <c r="NB34" s="157"/>
      <c r="NC34" s="157"/>
      <c r="ND34" s="157"/>
      <c r="NE34" s="157"/>
      <c r="NF34" s="157"/>
      <c r="NG34" s="157"/>
      <c r="NH34" s="157"/>
      <c r="NI34" s="157"/>
      <c r="NJ34" s="157"/>
      <c r="NK34" s="157"/>
      <c r="NL34" s="157"/>
      <c r="NM34" s="157"/>
      <c r="NN34" s="157"/>
      <c r="NO34" s="157"/>
      <c r="NP34" s="157"/>
      <c r="NQ34" s="157"/>
      <c r="NR34" s="157"/>
      <c r="NS34" s="157"/>
      <c r="NT34" s="157"/>
      <c r="NU34" s="157"/>
      <c r="NV34" s="157"/>
      <c r="NW34" s="157"/>
      <c r="NX34" s="157"/>
      <c r="NY34" s="157"/>
      <c r="NZ34" s="157"/>
      <c r="OA34" s="157"/>
      <c r="OB34" s="157"/>
      <c r="OC34" s="157"/>
      <c r="OD34" s="157"/>
      <c r="OE34" s="157"/>
      <c r="OF34" s="157"/>
      <c r="OG34" s="157"/>
      <c r="OH34" s="157"/>
      <c r="OI34" s="157"/>
      <c r="OJ34" s="157"/>
      <c r="OK34" s="157"/>
      <c r="OL34" s="157"/>
    </row>
    <row r="35" spans="239:402">
      <c r="IE35" s="157"/>
      <c r="IF35" s="157"/>
      <c r="IG35" s="157"/>
      <c r="IH35" s="157"/>
      <c r="IJ35" s="157"/>
      <c r="IK35" s="157"/>
      <c r="IL35" s="157"/>
      <c r="IM35" s="157"/>
      <c r="IN35" s="157"/>
      <c r="IO35" s="157"/>
      <c r="IP35" s="157"/>
      <c r="IQ35" s="157"/>
      <c r="IR35" s="157"/>
      <c r="IS35" s="157"/>
      <c r="IT35" s="157"/>
      <c r="IU35" s="157"/>
      <c r="IV35" s="157"/>
      <c r="IW35" s="157"/>
      <c r="IX35" s="157"/>
      <c r="IY35" s="157"/>
      <c r="IZ35" s="157"/>
      <c r="JA35" s="157"/>
      <c r="JB35" s="157"/>
      <c r="JC35" s="157"/>
      <c r="JD35" s="157"/>
      <c r="JE35" s="157"/>
      <c r="JF35" s="157"/>
      <c r="JG35" s="157"/>
      <c r="JH35" s="157"/>
      <c r="JI35" s="157"/>
      <c r="JJ35" s="157"/>
      <c r="JK35" s="157"/>
      <c r="JL35" s="157"/>
      <c r="JM35" s="157"/>
      <c r="JN35" s="157"/>
      <c r="JO35" s="157"/>
      <c r="JP35" s="157"/>
      <c r="JQ35" s="157"/>
      <c r="JR35" s="157"/>
      <c r="JS35" s="157"/>
      <c r="JT35" s="157"/>
      <c r="JU35" s="157"/>
      <c r="JV35" s="157"/>
      <c r="JW35" s="157"/>
      <c r="JX35" s="157"/>
      <c r="JY35" s="157"/>
      <c r="JZ35" s="157"/>
      <c r="KA35" s="157"/>
      <c r="KB35" s="157"/>
      <c r="KC35" s="157"/>
      <c r="KD35" s="157"/>
      <c r="KE35" s="157"/>
      <c r="KF35" s="157"/>
      <c r="KG35" s="157"/>
      <c r="KH35" s="157"/>
      <c r="KI35" s="157"/>
      <c r="KJ35" s="157"/>
      <c r="KK35" s="157"/>
      <c r="KL35" s="157"/>
      <c r="KM35" s="157"/>
      <c r="KN35" s="157"/>
      <c r="KO35" s="157"/>
      <c r="KP35" s="157"/>
      <c r="KQ35" s="157"/>
      <c r="KR35" s="157"/>
      <c r="KS35" s="157"/>
      <c r="KT35" s="157"/>
      <c r="KU35" s="157"/>
      <c r="KV35" s="157"/>
      <c r="KW35" s="157"/>
      <c r="KX35" s="157"/>
      <c r="KY35" s="157"/>
      <c r="KZ35" s="157"/>
      <c r="LA35" s="157"/>
      <c r="LB35" s="157"/>
      <c r="LC35" s="157"/>
      <c r="LD35" s="157"/>
      <c r="LE35" s="157"/>
      <c r="LF35" s="157"/>
      <c r="LG35" s="157"/>
      <c r="LH35" s="157"/>
      <c r="LI35" s="157"/>
      <c r="LJ35" s="157"/>
      <c r="LK35" s="157"/>
      <c r="LL35" s="157"/>
      <c r="LM35" s="157"/>
      <c r="LN35" s="157"/>
      <c r="LO35" s="157"/>
      <c r="LP35" s="157"/>
      <c r="LQ35" s="157"/>
      <c r="LR35" s="157"/>
      <c r="LS35" s="157"/>
      <c r="LT35" s="157"/>
      <c r="LU35" s="157"/>
      <c r="LV35" s="157"/>
      <c r="LW35" s="157"/>
      <c r="LX35" s="157"/>
      <c r="LY35" s="157"/>
      <c r="LZ35" s="157"/>
      <c r="MA35" s="157"/>
      <c r="MB35" s="157"/>
      <c r="MC35" s="157"/>
      <c r="MD35" s="157"/>
      <c r="ME35" s="157"/>
      <c r="MF35" s="163" t="s">
        <v>84</v>
      </c>
      <c r="MG35" s="156">
        <v>388456</v>
      </c>
      <c r="MH35" s="156">
        <v>126605</v>
      </c>
      <c r="MI35" s="156">
        <v>87607</v>
      </c>
      <c r="MJ35" s="156">
        <v>2781001</v>
      </c>
      <c r="MK35" s="157"/>
      <c r="ML35" s="156">
        <v>249121</v>
      </c>
      <c r="MM35" s="156">
        <v>16576</v>
      </c>
      <c r="MN35" s="156">
        <v>-21324</v>
      </c>
      <c r="MO35" s="156">
        <v>3101958</v>
      </c>
      <c r="MP35" s="157"/>
      <c r="MQ35" s="156">
        <v>291077</v>
      </c>
      <c r="MR35" s="156">
        <v>36257</v>
      </c>
      <c r="MS35" s="156">
        <v>-325</v>
      </c>
      <c r="MT35" s="156">
        <v>2962505</v>
      </c>
      <c r="MU35" s="157"/>
      <c r="MV35" s="157"/>
      <c r="MW35" s="157"/>
      <c r="MX35" s="157"/>
      <c r="MY35" s="157"/>
      <c r="MZ35" s="157"/>
      <c r="NA35" s="157"/>
      <c r="NB35" s="157"/>
      <c r="NC35" s="157"/>
      <c r="ND35" s="157"/>
      <c r="NE35" s="157"/>
      <c r="NF35" s="157"/>
      <c r="NG35" s="157"/>
      <c r="NH35" s="157"/>
      <c r="NI35" s="157"/>
      <c r="NJ35" s="157"/>
      <c r="NK35" s="157"/>
      <c r="NL35" s="157"/>
      <c r="NM35" s="157"/>
      <c r="NN35" s="157"/>
      <c r="NO35" s="157"/>
      <c r="NP35" s="157"/>
      <c r="NQ35" s="157"/>
      <c r="NR35" s="157"/>
      <c r="NS35" s="157"/>
      <c r="NT35" s="157"/>
      <c r="NU35" s="157"/>
      <c r="NV35" s="157"/>
      <c r="NW35" s="157"/>
      <c r="NX35" s="157"/>
      <c r="NY35" s="157"/>
      <c r="NZ35" s="157"/>
      <c r="OA35" s="157"/>
      <c r="OB35" s="157"/>
      <c r="OC35" s="157"/>
      <c r="OD35" s="157"/>
      <c r="OE35" s="157"/>
      <c r="OF35" s="157"/>
      <c r="OG35" s="157"/>
      <c r="OH35" s="157"/>
      <c r="OI35" s="157"/>
      <c r="OJ35" s="157"/>
      <c r="OK35" s="157"/>
      <c r="OL35" s="157"/>
    </row>
    <row r="36" spans="239:402">
      <c r="IE36" s="157"/>
      <c r="IF36" s="157"/>
      <c r="IG36" s="157"/>
      <c r="IH36" s="157"/>
      <c r="IJ36" s="157"/>
      <c r="IK36" s="157"/>
      <c r="IL36" s="157"/>
      <c r="IM36" s="157"/>
      <c r="IN36" s="157"/>
      <c r="IO36" s="157"/>
      <c r="IP36" s="157"/>
      <c r="IQ36" s="157"/>
      <c r="IR36" s="157"/>
      <c r="IS36" s="157"/>
      <c r="IT36" s="157"/>
      <c r="IU36" s="157"/>
      <c r="IV36" s="157"/>
      <c r="IW36" s="157"/>
      <c r="IX36" s="157"/>
      <c r="IY36" s="157"/>
      <c r="IZ36" s="157"/>
      <c r="JA36" s="157"/>
      <c r="JB36" s="157"/>
      <c r="JC36" s="157"/>
      <c r="JD36" s="157"/>
      <c r="JE36" s="157"/>
      <c r="JF36" s="157"/>
      <c r="JG36" s="157"/>
      <c r="JH36" s="157"/>
      <c r="JI36" s="157"/>
      <c r="JJ36" s="157"/>
      <c r="JK36" s="157"/>
      <c r="JL36" s="157"/>
      <c r="JM36" s="157"/>
      <c r="JN36" s="157"/>
      <c r="JO36" s="157"/>
      <c r="JP36" s="157"/>
      <c r="JQ36" s="157"/>
      <c r="JR36" s="157"/>
      <c r="JS36" s="157"/>
      <c r="JT36" s="157"/>
      <c r="JU36" s="157"/>
      <c r="JV36" s="157"/>
      <c r="JW36" s="157"/>
      <c r="JX36" s="157"/>
      <c r="JY36" s="157"/>
      <c r="JZ36" s="157"/>
      <c r="KA36" s="157"/>
      <c r="KB36" s="157"/>
      <c r="KC36" s="157"/>
      <c r="KD36" s="157"/>
      <c r="KE36" s="157"/>
      <c r="KF36" s="157"/>
      <c r="KG36" s="157"/>
      <c r="KH36" s="157"/>
      <c r="KI36" s="157"/>
      <c r="KJ36" s="157"/>
      <c r="KK36" s="157"/>
      <c r="KL36" s="157"/>
      <c r="KM36" s="157"/>
      <c r="KN36" s="157"/>
      <c r="KO36" s="157"/>
      <c r="KP36" s="157"/>
      <c r="KQ36" s="157"/>
      <c r="KR36" s="157"/>
      <c r="KS36" s="157"/>
      <c r="KT36" s="157"/>
      <c r="KU36" s="157"/>
      <c r="KV36" s="157"/>
      <c r="KW36" s="157"/>
      <c r="KX36" s="157"/>
      <c r="KY36" s="157"/>
      <c r="KZ36" s="157"/>
      <c r="LA36" s="157"/>
      <c r="LB36" s="157"/>
      <c r="LC36" s="157"/>
      <c r="LD36" s="157"/>
      <c r="LE36" s="157"/>
      <c r="LF36" s="157"/>
      <c r="LG36" s="157"/>
      <c r="LH36" s="157"/>
      <c r="LI36" s="157"/>
      <c r="LJ36" s="157"/>
      <c r="LK36" s="157"/>
      <c r="LL36" s="157"/>
      <c r="LM36" s="157"/>
      <c r="LN36" s="157"/>
      <c r="LO36" s="157"/>
      <c r="LP36" s="157"/>
      <c r="LQ36" s="157"/>
      <c r="LR36" s="157"/>
      <c r="LS36" s="157"/>
      <c r="LT36" s="157"/>
      <c r="LU36" s="157"/>
      <c r="LV36" s="157"/>
      <c r="LW36" s="157"/>
      <c r="LX36" s="157"/>
      <c r="LY36" s="157"/>
      <c r="LZ36" s="157"/>
      <c r="MA36" s="157"/>
      <c r="MB36" s="157"/>
      <c r="MC36" s="157"/>
      <c r="MD36" s="157"/>
      <c r="ME36" s="157"/>
      <c r="MF36" s="163" t="s">
        <v>85</v>
      </c>
      <c r="MG36" s="156">
        <v>1545835</v>
      </c>
      <c r="MH36" s="156">
        <v>379296</v>
      </c>
      <c r="MI36" s="156">
        <v>138507</v>
      </c>
      <c r="MJ36" s="180">
        <v>15012125</v>
      </c>
      <c r="MK36" s="157"/>
      <c r="ML36" s="156">
        <v>1479860</v>
      </c>
      <c r="MM36" s="156">
        <v>608152</v>
      </c>
      <c r="MN36" s="156">
        <v>370825</v>
      </c>
      <c r="MO36" s="180">
        <v>14581007</v>
      </c>
      <c r="MP36" s="157"/>
      <c r="MQ36" s="156">
        <v>1490614</v>
      </c>
      <c r="MR36" s="156">
        <v>612000</v>
      </c>
      <c r="MS36" s="156">
        <v>376007</v>
      </c>
      <c r="MT36" s="180">
        <v>14377042</v>
      </c>
      <c r="MU36" s="157"/>
      <c r="MV36" s="157"/>
      <c r="MW36" s="157"/>
      <c r="MX36" s="157"/>
      <c r="MY36" s="157"/>
      <c r="MZ36" s="157"/>
      <c r="NA36" s="157"/>
      <c r="NB36" s="157"/>
      <c r="NC36" s="157"/>
      <c r="ND36" s="157"/>
      <c r="NE36" s="157"/>
      <c r="NF36" s="157"/>
      <c r="NG36" s="157"/>
      <c r="NH36" s="157"/>
      <c r="NI36" s="157"/>
      <c r="NJ36" s="157"/>
      <c r="NK36" s="157"/>
      <c r="NL36" s="157"/>
      <c r="NM36" s="157"/>
      <c r="NN36" s="157"/>
      <c r="NO36" s="157"/>
      <c r="NP36" s="157"/>
      <c r="NQ36" s="157"/>
      <c r="NR36" s="157"/>
      <c r="NS36" s="157"/>
      <c r="NT36" s="157"/>
      <c r="NU36" s="157"/>
      <c r="NV36" s="157"/>
      <c r="NW36" s="157"/>
      <c r="NX36" s="157"/>
      <c r="NY36" s="157"/>
      <c r="NZ36" s="157"/>
      <c r="OA36" s="157"/>
      <c r="OB36" s="157"/>
      <c r="OC36" s="157"/>
      <c r="OD36" s="157"/>
      <c r="OE36" s="157"/>
      <c r="OF36" s="157"/>
      <c r="OG36" s="157"/>
      <c r="OH36" s="157"/>
      <c r="OI36" s="157"/>
      <c r="OJ36" s="157"/>
      <c r="OK36" s="157"/>
      <c r="OL36" s="157"/>
    </row>
    <row r="37" spans="239:402">
      <c r="IE37" s="157"/>
      <c r="IF37" s="157"/>
      <c r="IG37" s="157"/>
      <c r="IH37" s="157"/>
      <c r="IJ37" s="157"/>
      <c r="IK37" s="157"/>
      <c r="IL37" s="157"/>
      <c r="IM37" s="157"/>
      <c r="IN37" s="157"/>
      <c r="IO37" s="157"/>
      <c r="IP37" s="157"/>
      <c r="IQ37" s="157"/>
      <c r="IR37" s="157"/>
      <c r="IS37" s="157"/>
      <c r="IT37" s="157"/>
      <c r="IU37" s="157"/>
      <c r="IV37" s="157"/>
      <c r="IW37" s="157"/>
      <c r="IX37" s="157"/>
      <c r="IY37" s="157"/>
      <c r="IZ37" s="157"/>
      <c r="JA37" s="157"/>
      <c r="JB37" s="157"/>
      <c r="JC37" s="157"/>
      <c r="JD37" s="157"/>
      <c r="JE37" s="157"/>
      <c r="JF37" s="157"/>
      <c r="JG37" s="157"/>
      <c r="JH37" s="157"/>
      <c r="JI37" s="157"/>
      <c r="JJ37" s="157"/>
      <c r="JK37" s="157"/>
      <c r="JL37" s="157"/>
      <c r="JM37" s="157"/>
      <c r="JN37" s="157"/>
      <c r="JO37" s="157"/>
      <c r="JP37" s="157"/>
      <c r="JQ37" s="157"/>
      <c r="JR37" s="157"/>
      <c r="JS37" s="157"/>
      <c r="JT37" s="157"/>
      <c r="JU37" s="157"/>
      <c r="JV37" s="157"/>
      <c r="JW37" s="157"/>
      <c r="JX37" s="157"/>
      <c r="JY37" s="157"/>
      <c r="JZ37" s="157"/>
      <c r="KA37" s="157"/>
      <c r="KB37" s="157"/>
      <c r="KC37" s="157"/>
      <c r="KD37" s="157"/>
      <c r="KE37" s="157"/>
      <c r="KF37" s="157"/>
      <c r="KG37" s="157"/>
      <c r="KH37" s="157"/>
      <c r="KI37" s="157"/>
      <c r="KJ37" s="157"/>
      <c r="KK37" s="157"/>
      <c r="KL37" s="157"/>
      <c r="KM37" s="157"/>
      <c r="KN37" s="157"/>
      <c r="KO37" s="157"/>
      <c r="KP37" s="157"/>
      <c r="KQ37" s="157"/>
      <c r="KR37" s="157"/>
      <c r="KS37" s="157"/>
      <c r="KT37" s="157"/>
      <c r="KU37" s="157"/>
      <c r="KV37" s="157"/>
      <c r="KW37" s="157"/>
      <c r="KX37" s="157"/>
      <c r="KY37" s="157"/>
      <c r="KZ37" s="157"/>
      <c r="LA37" s="157"/>
      <c r="LB37" s="157"/>
      <c r="LC37" s="157"/>
      <c r="LD37" s="157"/>
      <c r="LE37" s="157"/>
      <c r="LF37" s="157"/>
      <c r="LG37" s="157"/>
      <c r="LH37" s="157"/>
      <c r="LI37" s="157"/>
      <c r="LJ37" s="157"/>
      <c r="LK37" s="157"/>
      <c r="LL37" s="157"/>
      <c r="LM37" s="157"/>
      <c r="LN37" s="157"/>
      <c r="LO37" s="157"/>
      <c r="LP37" s="157"/>
      <c r="LQ37" s="157"/>
      <c r="LR37" s="157"/>
      <c r="LS37" s="157"/>
      <c r="LT37" s="157"/>
      <c r="LU37" s="157"/>
      <c r="LV37" s="157"/>
      <c r="LW37" s="157"/>
      <c r="LX37" s="157"/>
      <c r="LY37" s="157"/>
      <c r="LZ37" s="157"/>
      <c r="MA37" s="157"/>
      <c r="MB37" s="157"/>
      <c r="MC37" s="157"/>
      <c r="MD37" s="157"/>
      <c r="ME37" s="157"/>
      <c r="MF37" s="163" t="s">
        <v>86</v>
      </c>
      <c r="MG37" s="156">
        <v>4010459</v>
      </c>
      <c r="MH37" s="156">
        <v>106749</v>
      </c>
      <c r="MI37" s="156">
        <v>103508</v>
      </c>
      <c r="MJ37" s="180">
        <v>3715551</v>
      </c>
      <c r="MK37" s="157"/>
      <c r="ML37" s="156">
        <v>3691883</v>
      </c>
      <c r="MM37" s="156">
        <v>109830</v>
      </c>
      <c r="MN37" s="156">
        <v>105291</v>
      </c>
      <c r="MO37" s="180">
        <v>2413083</v>
      </c>
      <c r="MP37" s="157"/>
      <c r="MQ37" s="156">
        <v>3479108</v>
      </c>
      <c r="MR37" s="156">
        <v>153290</v>
      </c>
      <c r="MS37" s="156">
        <v>144543</v>
      </c>
      <c r="MT37" s="180">
        <v>2040729</v>
      </c>
      <c r="MU37" s="157"/>
      <c r="MV37" s="157"/>
      <c r="MW37" s="157"/>
      <c r="MX37" s="157"/>
      <c r="MY37" s="157"/>
      <c r="MZ37" s="157"/>
      <c r="NA37" s="157"/>
      <c r="NB37" s="157"/>
      <c r="NC37" s="157"/>
      <c r="ND37" s="157"/>
      <c r="NE37" s="157"/>
      <c r="NF37" s="157"/>
      <c r="NG37" s="157"/>
      <c r="NH37" s="157"/>
      <c r="NI37" s="157"/>
      <c r="NJ37" s="157"/>
      <c r="NK37" s="157"/>
      <c r="NL37" s="157"/>
      <c r="NM37" s="157"/>
      <c r="NN37" s="157"/>
      <c r="NO37" s="157"/>
      <c r="NP37" s="157"/>
      <c r="NQ37" s="157"/>
      <c r="NR37" s="157"/>
      <c r="NS37" s="157"/>
      <c r="NT37" s="157"/>
      <c r="NU37" s="157"/>
      <c r="NV37" s="157"/>
      <c r="NW37" s="157"/>
      <c r="NX37" s="157"/>
      <c r="NY37" s="157"/>
      <c r="NZ37" s="157"/>
      <c r="OA37" s="157"/>
      <c r="OB37" s="157"/>
      <c r="OC37" s="157"/>
      <c r="OD37" s="157"/>
      <c r="OE37" s="157"/>
      <c r="OF37" s="157"/>
      <c r="OG37" s="157"/>
      <c r="OH37" s="157"/>
      <c r="OI37" s="157"/>
      <c r="OJ37" s="157"/>
      <c r="OK37" s="157"/>
      <c r="OL37" s="157"/>
    </row>
    <row r="38" spans="239:402">
      <c r="IE38" s="157"/>
      <c r="IF38" s="157"/>
      <c r="IG38" s="157"/>
      <c r="IH38" s="157"/>
      <c r="IJ38" s="157"/>
      <c r="IK38" s="157"/>
      <c r="IL38" s="157"/>
      <c r="IM38" s="157"/>
      <c r="IN38" s="157"/>
      <c r="IO38" s="157"/>
      <c r="IP38" s="157"/>
      <c r="IQ38" s="157"/>
      <c r="IR38" s="157"/>
      <c r="IS38" s="157"/>
      <c r="IT38" s="157"/>
      <c r="IU38" s="157"/>
      <c r="IV38" s="157"/>
      <c r="IW38" s="157"/>
      <c r="IX38" s="157"/>
      <c r="IY38" s="157"/>
      <c r="IZ38" s="157"/>
      <c r="JA38" s="157"/>
      <c r="JB38" s="157"/>
      <c r="JC38" s="157"/>
      <c r="JD38" s="157"/>
      <c r="JE38" s="157"/>
      <c r="JF38" s="157"/>
      <c r="JG38" s="157"/>
      <c r="JH38" s="157"/>
      <c r="JI38" s="157"/>
      <c r="JJ38" s="157"/>
      <c r="JK38" s="157"/>
      <c r="JL38" s="157"/>
      <c r="JM38" s="157"/>
      <c r="JN38" s="157"/>
      <c r="JO38" s="157"/>
      <c r="JP38" s="157"/>
      <c r="JQ38" s="157"/>
      <c r="JR38" s="157"/>
      <c r="JS38" s="157"/>
      <c r="JT38" s="157"/>
      <c r="JU38" s="157"/>
      <c r="JV38" s="157"/>
      <c r="JW38" s="157"/>
      <c r="JX38" s="157"/>
      <c r="JY38" s="157"/>
      <c r="JZ38" s="157"/>
      <c r="KA38" s="157"/>
      <c r="KB38" s="157"/>
      <c r="KC38" s="157"/>
      <c r="KD38" s="157"/>
      <c r="KE38" s="157"/>
      <c r="KF38" s="157"/>
      <c r="KG38" s="157"/>
      <c r="KH38" s="157"/>
      <c r="KI38" s="157"/>
      <c r="KJ38" s="157"/>
      <c r="KK38" s="157"/>
      <c r="KL38" s="157"/>
      <c r="KM38" s="157"/>
      <c r="KN38" s="157"/>
      <c r="KO38" s="157"/>
      <c r="KP38" s="157"/>
      <c r="KQ38" s="157"/>
      <c r="KR38" s="157"/>
      <c r="KS38" s="157"/>
      <c r="KT38" s="157"/>
      <c r="KU38" s="157"/>
      <c r="KV38" s="157"/>
      <c r="KW38" s="157"/>
      <c r="KX38" s="157"/>
      <c r="KY38" s="157"/>
      <c r="KZ38" s="157"/>
      <c r="LA38" s="157"/>
      <c r="LB38" s="157"/>
      <c r="LC38" s="157"/>
      <c r="LD38" s="157"/>
      <c r="LE38" s="157"/>
      <c r="LF38" s="157"/>
      <c r="LG38" s="157"/>
      <c r="LH38" s="157"/>
      <c r="LI38" s="157"/>
      <c r="LJ38" s="157"/>
      <c r="LK38" s="157"/>
      <c r="LL38" s="157"/>
      <c r="LM38" s="157"/>
      <c r="LN38" s="157"/>
      <c r="LO38" s="157"/>
      <c r="LP38" s="157"/>
      <c r="LQ38" s="157"/>
      <c r="LR38" s="157"/>
      <c r="LS38" s="157"/>
      <c r="LT38" s="157"/>
      <c r="LU38" s="157"/>
      <c r="LV38" s="157"/>
      <c r="LW38" s="157"/>
      <c r="LX38" s="157"/>
      <c r="LY38" s="157"/>
      <c r="LZ38" s="157"/>
      <c r="MA38" s="157"/>
      <c r="MB38" s="157"/>
      <c r="MC38" s="157"/>
      <c r="MD38" s="157"/>
      <c r="ME38" s="157"/>
      <c r="MF38" s="163" t="s">
        <v>87</v>
      </c>
      <c r="MG38" s="156">
        <v>153870</v>
      </c>
      <c r="MH38" s="156">
        <v>-2388</v>
      </c>
      <c r="MI38" s="156">
        <v>-15091</v>
      </c>
      <c r="MJ38" s="156">
        <v>267663</v>
      </c>
      <c r="MK38" s="157"/>
      <c r="ML38" s="156">
        <v>155387</v>
      </c>
      <c r="MM38" s="156">
        <v>31201</v>
      </c>
      <c r="MN38" s="156">
        <v>19345</v>
      </c>
      <c r="MO38" s="156">
        <v>230454</v>
      </c>
      <c r="MP38" s="157"/>
      <c r="MQ38" s="156">
        <v>138236</v>
      </c>
      <c r="MR38" s="156">
        <v>15822</v>
      </c>
      <c r="MS38" s="156">
        <v>5885</v>
      </c>
      <c r="MT38" s="156">
        <v>222294</v>
      </c>
      <c r="MU38" s="157"/>
      <c r="MV38" s="157"/>
      <c r="MW38" s="157"/>
      <c r="MX38" s="157"/>
      <c r="MY38" s="157"/>
      <c r="MZ38" s="157"/>
      <c r="NA38" s="157"/>
      <c r="NB38" s="157"/>
      <c r="NC38" s="157"/>
      <c r="ND38" s="157"/>
      <c r="NE38" s="157"/>
      <c r="NF38" s="157"/>
      <c r="NG38" s="157"/>
      <c r="NH38" s="157"/>
      <c r="NI38" s="157"/>
      <c r="NJ38" s="157"/>
      <c r="NK38" s="157"/>
      <c r="NL38" s="157"/>
      <c r="NM38" s="157"/>
      <c r="NN38" s="157"/>
      <c r="NO38" s="157"/>
      <c r="NP38" s="157"/>
      <c r="NQ38" s="157"/>
      <c r="NR38" s="157"/>
      <c r="NS38" s="157"/>
      <c r="NT38" s="157"/>
      <c r="NU38" s="157"/>
      <c r="NV38" s="157"/>
      <c r="NW38" s="157"/>
      <c r="NX38" s="157"/>
      <c r="NY38" s="157"/>
      <c r="NZ38" s="157"/>
      <c r="OA38" s="157"/>
      <c r="OB38" s="157"/>
      <c r="OC38" s="157"/>
      <c r="OD38" s="157"/>
      <c r="OE38" s="157"/>
      <c r="OF38" s="157"/>
      <c r="OG38" s="157"/>
      <c r="OH38" s="157"/>
      <c r="OI38" s="157"/>
      <c r="OJ38" s="157"/>
      <c r="OK38" s="157"/>
      <c r="OL38" s="157"/>
    </row>
    <row r="39" spans="239:402">
      <c r="IE39" s="157"/>
      <c r="IF39" s="157"/>
      <c r="IG39" s="157"/>
      <c r="IH39" s="157"/>
      <c r="IJ39" s="157"/>
      <c r="IK39" s="157"/>
      <c r="IL39" s="157"/>
      <c r="IM39" s="157"/>
      <c r="IN39" s="157"/>
      <c r="IO39" s="157"/>
      <c r="IP39" s="157"/>
      <c r="IQ39" s="157"/>
      <c r="IR39" s="157"/>
      <c r="IS39" s="157"/>
      <c r="IT39" s="157"/>
      <c r="IU39" s="157"/>
      <c r="IV39" s="157"/>
      <c r="IW39" s="157"/>
      <c r="IX39" s="157"/>
      <c r="IY39" s="157"/>
      <c r="IZ39" s="157"/>
      <c r="JA39" s="157"/>
      <c r="JB39" s="157"/>
      <c r="JC39" s="157"/>
      <c r="JD39" s="157"/>
      <c r="JE39" s="157"/>
      <c r="JF39" s="157"/>
      <c r="JG39" s="157"/>
      <c r="JH39" s="157"/>
      <c r="JI39" s="157"/>
      <c r="JJ39" s="157"/>
      <c r="JK39" s="157"/>
      <c r="JL39" s="157"/>
      <c r="JM39" s="157"/>
      <c r="JN39" s="157"/>
      <c r="JO39" s="157"/>
      <c r="JP39" s="157"/>
      <c r="JQ39" s="157"/>
      <c r="JR39" s="157"/>
      <c r="JS39" s="157"/>
      <c r="JT39" s="157"/>
      <c r="JU39" s="157"/>
      <c r="JV39" s="157"/>
      <c r="JW39" s="157"/>
      <c r="JX39" s="157"/>
      <c r="JY39" s="157"/>
      <c r="JZ39" s="157"/>
      <c r="KA39" s="157"/>
      <c r="KB39" s="157"/>
      <c r="KC39" s="157"/>
      <c r="KD39" s="157"/>
      <c r="KE39" s="157"/>
      <c r="KF39" s="157"/>
      <c r="KG39" s="157"/>
      <c r="KH39" s="157"/>
      <c r="KI39" s="157"/>
      <c r="KJ39" s="157"/>
      <c r="KK39" s="157"/>
      <c r="KL39" s="157"/>
      <c r="KM39" s="157"/>
      <c r="KN39" s="157"/>
      <c r="KO39" s="157"/>
      <c r="KP39" s="157"/>
      <c r="KQ39" s="157"/>
      <c r="KR39" s="157"/>
      <c r="KS39" s="157"/>
      <c r="KT39" s="157"/>
      <c r="KU39" s="157"/>
      <c r="KV39" s="157"/>
      <c r="KW39" s="157"/>
      <c r="KX39" s="157"/>
      <c r="KY39" s="157"/>
      <c r="KZ39" s="157"/>
      <c r="LA39" s="157"/>
      <c r="LB39" s="157"/>
      <c r="LC39" s="157"/>
      <c r="LD39" s="157"/>
      <c r="LE39" s="157"/>
      <c r="LF39" s="157"/>
      <c r="LG39" s="157"/>
      <c r="LH39" s="157"/>
      <c r="LI39" s="157"/>
      <c r="LJ39" s="157"/>
      <c r="LK39" s="157"/>
      <c r="LL39" s="157"/>
      <c r="LM39" s="157"/>
      <c r="LN39" s="157"/>
      <c r="LO39" s="157"/>
      <c r="LP39" s="157"/>
      <c r="LQ39" s="157"/>
      <c r="LR39" s="157"/>
      <c r="LS39" s="157"/>
      <c r="LT39" s="157"/>
      <c r="LU39" s="157"/>
      <c r="LV39" s="157"/>
      <c r="LW39" s="157"/>
      <c r="LX39" s="157"/>
      <c r="LY39" s="157"/>
      <c r="LZ39" s="157"/>
      <c r="MA39" s="157"/>
      <c r="MB39" s="157"/>
      <c r="MC39" s="157"/>
      <c r="MD39" s="157"/>
      <c r="ME39" s="157"/>
      <c r="MF39" s="173" t="s">
        <v>80</v>
      </c>
      <c r="MG39" s="170">
        <v>57229</v>
      </c>
      <c r="MH39" s="170">
        <v>-838</v>
      </c>
      <c r="MI39" s="170">
        <v>-2417</v>
      </c>
      <c r="MJ39" s="170">
        <v>191933</v>
      </c>
      <c r="MK39" s="157"/>
      <c r="ML39" s="170">
        <v>78754</v>
      </c>
      <c r="MM39" s="170">
        <v>11110</v>
      </c>
      <c r="MN39" s="170">
        <v>9389</v>
      </c>
      <c r="MO39" s="170">
        <v>160564</v>
      </c>
      <c r="MP39" s="157"/>
      <c r="MQ39" s="170">
        <v>57784</v>
      </c>
      <c r="MR39" s="170">
        <v>6878</v>
      </c>
      <c r="MS39" s="170">
        <v>5166</v>
      </c>
      <c r="MT39" s="170">
        <v>182892</v>
      </c>
      <c r="MU39" s="157"/>
      <c r="MV39" s="157"/>
      <c r="MW39" s="157"/>
      <c r="MX39" s="157"/>
      <c r="MY39" s="157"/>
      <c r="MZ39" s="157"/>
      <c r="NA39" s="157"/>
      <c r="NB39" s="157"/>
      <c r="NC39" s="157"/>
      <c r="ND39" s="157"/>
      <c r="NE39" s="157"/>
      <c r="NF39" s="157"/>
      <c r="NG39" s="157"/>
      <c r="NH39" s="157"/>
      <c r="NI39" s="157"/>
      <c r="NJ39" s="157"/>
      <c r="NK39" s="157"/>
      <c r="NL39" s="157"/>
      <c r="NM39" s="157"/>
      <c r="NN39" s="157"/>
      <c r="NO39" s="157"/>
      <c r="NP39" s="157"/>
      <c r="NQ39" s="157"/>
      <c r="NR39" s="157"/>
      <c r="NS39" s="157"/>
      <c r="NT39" s="157"/>
      <c r="NU39" s="157"/>
      <c r="NV39" s="157"/>
      <c r="NW39" s="157"/>
      <c r="NX39" s="157"/>
      <c r="NY39" s="157"/>
      <c r="NZ39" s="157"/>
      <c r="OA39" s="157"/>
      <c r="OB39" s="157"/>
      <c r="OC39" s="157"/>
      <c r="OD39" s="157"/>
      <c r="OE39" s="157"/>
      <c r="OF39" s="157"/>
      <c r="OG39" s="157"/>
      <c r="OH39" s="157"/>
      <c r="OI39" s="157"/>
      <c r="OJ39" s="157"/>
      <c r="OK39" s="157"/>
      <c r="OL39" s="157"/>
    </row>
    <row r="40" spans="239:402">
      <c r="IE40" s="157"/>
      <c r="IF40" s="157"/>
      <c r="IG40" s="157"/>
      <c r="IH40" s="157"/>
      <c r="IJ40" s="157"/>
      <c r="IK40" s="157"/>
      <c r="IL40" s="157"/>
      <c r="IM40" s="157"/>
      <c r="IN40" s="157"/>
      <c r="IO40" s="157"/>
      <c r="IP40" s="157"/>
      <c r="IQ40" s="157"/>
      <c r="IR40" s="157"/>
      <c r="IS40" s="157"/>
      <c r="IT40" s="157"/>
      <c r="IU40" s="157"/>
      <c r="IV40" s="157"/>
      <c r="IW40" s="157"/>
      <c r="IX40" s="157"/>
      <c r="IY40" s="157"/>
      <c r="IZ40" s="157"/>
      <c r="JA40" s="157"/>
      <c r="JB40" s="157"/>
      <c r="JC40" s="157"/>
      <c r="JD40" s="157"/>
      <c r="JE40" s="157"/>
      <c r="JF40" s="157"/>
      <c r="JG40" s="157"/>
      <c r="JH40" s="157"/>
      <c r="JI40" s="157"/>
      <c r="JJ40" s="157"/>
      <c r="JK40" s="157"/>
      <c r="JL40" s="157"/>
      <c r="JM40" s="157"/>
      <c r="JN40" s="157"/>
      <c r="JO40" s="157"/>
      <c r="JP40" s="157"/>
      <c r="JQ40" s="157"/>
      <c r="JR40" s="157"/>
      <c r="JS40" s="157"/>
      <c r="JT40" s="157"/>
      <c r="JU40" s="157"/>
      <c r="JV40" s="157"/>
      <c r="JW40" s="157"/>
      <c r="JX40" s="157"/>
      <c r="JY40" s="157"/>
      <c r="JZ40" s="157"/>
      <c r="KA40" s="157"/>
      <c r="KB40" s="157"/>
      <c r="KC40" s="157"/>
      <c r="KD40" s="157"/>
      <c r="KE40" s="157"/>
      <c r="KF40" s="157"/>
      <c r="KG40" s="157"/>
      <c r="KH40" s="157"/>
      <c r="KI40" s="157"/>
      <c r="KJ40" s="157"/>
      <c r="KK40" s="157"/>
      <c r="KL40" s="157"/>
      <c r="KM40" s="157"/>
      <c r="KN40" s="157"/>
      <c r="KO40" s="157"/>
      <c r="KP40" s="157"/>
      <c r="KQ40" s="157"/>
      <c r="KR40" s="157"/>
      <c r="KS40" s="157"/>
      <c r="KT40" s="157"/>
      <c r="KU40" s="157"/>
      <c r="KV40" s="157"/>
      <c r="KW40" s="157"/>
      <c r="KX40" s="157"/>
      <c r="KY40" s="157"/>
      <c r="KZ40" s="157"/>
      <c r="LA40" s="157"/>
      <c r="LB40" s="157"/>
      <c r="LC40" s="157"/>
      <c r="LD40" s="157"/>
      <c r="LE40" s="157"/>
      <c r="LF40" s="157"/>
      <c r="LG40" s="157"/>
      <c r="LH40" s="157"/>
      <c r="LI40" s="157"/>
      <c r="LJ40" s="157"/>
      <c r="LK40" s="157"/>
      <c r="LL40" s="157"/>
      <c r="LM40" s="157"/>
      <c r="LN40" s="157"/>
      <c r="LO40" s="157"/>
      <c r="LP40" s="157"/>
      <c r="LQ40" s="157"/>
      <c r="LR40" s="157"/>
      <c r="LS40" s="157"/>
      <c r="LT40" s="157"/>
      <c r="LU40" s="157"/>
      <c r="LV40" s="157"/>
      <c r="LW40" s="157"/>
      <c r="LX40" s="157"/>
      <c r="LY40" s="157"/>
      <c r="LZ40" s="157"/>
      <c r="MA40" s="157"/>
      <c r="MB40" s="157"/>
      <c r="MC40" s="157"/>
      <c r="MD40" s="157"/>
      <c r="ME40" s="157"/>
      <c r="MF40" s="157"/>
      <c r="MG40" s="157"/>
      <c r="MH40" s="157"/>
      <c r="MI40" s="157"/>
      <c r="MJ40" s="157"/>
      <c r="MK40" s="157"/>
      <c r="ML40" s="157"/>
      <c r="MM40" s="157"/>
      <c r="MN40" s="157"/>
      <c r="MO40" s="157"/>
      <c r="MP40" s="157"/>
      <c r="MQ40" s="157"/>
      <c r="MR40" s="157"/>
      <c r="MS40" s="157"/>
      <c r="MT40" s="157"/>
      <c r="MU40" s="157"/>
      <c r="MV40" s="157"/>
      <c r="MW40" s="157"/>
      <c r="MX40" s="157"/>
      <c r="MY40" s="157"/>
      <c r="MZ40" s="157"/>
      <c r="NA40" s="157"/>
      <c r="NB40" s="157"/>
      <c r="NC40" s="157"/>
      <c r="ND40" s="157"/>
      <c r="NE40" s="157"/>
      <c r="NF40" s="157"/>
      <c r="NG40" s="157"/>
      <c r="NH40" s="157"/>
      <c r="NI40" s="157"/>
      <c r="NJ40" s="157"/>
      <c r="NK40" s="157"/>
      <c r="NL40" s="157"/>
      <c r="NM40" s="157"/>
      <c r="NN40" s="157"/>
      <c r="NO40" s="157"/>
      <c r="NP40" s="157"/>
      <c r="NQ40" s="157"/>
      <c r="NR40" s="157"/>
      <c r="NS40" s="157"/>
      <c r="NT40" s="157"/>
      <c r="NU40" s="157"/>
      <c r="NV40" s="157"/>
      <c r="NW40" s="157"/>
      <c r="NX40" s="157"/>
      <c r="NY40" s="157"/>
      <c r="NZ40" s="157"/>
      <c r="OA40" s="157"/>
      <c r="OB40" s="157"/>
      <c r="OC40" s="157"/>
      <c r="OD40" s="157"/>
      <c r="OE40" s="157"/>
      <c r="OF40" s="157"/>
      <c r="OG40" s="157"/>
      <c r="OH40" s="157"/>
      <c r="OI40" s="157"/>
      <c r="OJ40" s="157"/>
      <c r="OK40" s="157"/>
      <c r="OL40" s="157"/>
    </row>
    <row r="41" spans="239:402">
      <c r="IE41" s="157"/>
      <c r="IF41" s="157"/>
      <c r="IG41" s="157"/>
      <c r="IH41" s="157"/>
      <c r="IJ41" s="157"/>
      <c r="IK41" s="157"/>
      <c r="IL41" s="157"/>
      <c r="IM41" s="157"/>
      <c r="IN41" s="157"/>
      <c r="IO41" s="157"/>
      <c r="IP41" s="157"/>
      <c r="IQ41" s="157"/>
      <c r="IR41" s="157"/>
      <c r="IS41" s="157"/>
      <c r="IT41" s="157"/>
      <c r="IU41" s="157"/>
      <c r="IV41" s="157"/>
      <c r="IW41" s="157"/>
      <c r="IX41" s="157"/>
      <c r="IY41" s="157"/>
      <c r="IZ41" s="157"/>
      <c r="JA41" s="157"/>
      <c r="JB41" s="157"/>
      <c r="JC41" s="157"/>
      <c r="JD41" s="157"/>
      <c r="JE41" s="157"/>
      <c r="JF41" s="157"/>
      <c r="JG41" s="157"/>
      <c r="JH41" s="157"/>
      <c r="JI41" s="157"/>
      <c r="JJ41" s="157"/>
      <c r="JK41" s="157"/>
      <c r="JL41" s="157"/>
      <c r="JM41" s="157"/>
      <c r="JN41" s="157"/>
      <c r="JO41" s="157"/>
      <c r="JP41" s="157"/>
      <c r="JQ41" s="157"/>
      <c r="JR41" s="157"/>
      <c r="JS41" s="157"/>
      <c r="JT41" s="157"/>
      <c r="JU41" s="157"/>
      <c r="JV41" s="157"/>
      <c r="JW41" s="157"/>
      <c r="JX41" s="157"/>
      <c r="JY41" s="157"/>
      <c r="JZ41" s="157"/>
      <c r="KA41" s="157"/>
      <c r="KB41" s="157"/>
      <c r="KC41" s="157"/>
      <c r="KD41" s="157"/>
      <c r="KE41" s="157"/>
      <c r="KF41" s="157"/>
      <c r="KG41" s="157"/>
      <c r="KH41" s="157"/>
      <c r="KI41" s="157"/>
      <c r="KJ41" s="157"/>
      <c r="KK41" s="157"/>
      <c r="KL41" s="157"/>
      <c r="KM41" s="157"/>
      <c r="KN41" s="157"/>
      <c r="KO41" s="157"/>
      <c r="KP41" s="157"/>
      <c r="KQ41" s="157"/>
      <c r="KR41" s="157"/>
      <c r="KS41" s="157"/>
      <c r="KT41" s="157"/>
      <c r="KU41" s="157"/>
      <c r="KV41" s="157"/>
      <c r="KW41" s="157"/>
      <c r="KX41" s="157"/>
      <c r="KY41" s="157"/>
      <c r="KZ41" s="157"/>
      <c r="LA41" s="157"/>
      <c r="LB41" s="157"/>
      <c r="LC41" s="157"/>
      <c r="LD41" s="157"/>
      <c r="LE41" s="157"/>
      <c r="LF41" s="157"/>
      <c r="LG41" s="157"/>
      <c r="LH41" s="157"/>
      <c r="LI41" s="157"/>
      <c r="LJ41" s="157"/>
      <c r="LK41" s="157"/>
      <c r="LL41" s="157"/>
      <c r="LM41" s="157"/>
      <c r="LN41" s="157"/>
      <c r="LO41" s="157"/>
      <c r="LP41" s="157"/>
      <c r="LQ41" s="157"/>
      <c r="LR41" s="157"/>
      <c r="LS41" s="157"/>
      <c r="LT41" s="157"/>
      <c r="LU41" s="157"/>
      <c r="LV41" s="157"/>
      <c r="LW41" s="157"/>
      <c r="LX41" s="157"/>
      <c r="LY41" s="157"/>
      <c r="LZ41" s="157"/>
      <c r="MA41" s="157"/>
      <c r="MB41" s="157"/>
      <c r="MC41" s="157"/>
      <c r="MD41" s="157"/>
      <c r="ME41" s="157"/>
      <c r="MF41" s="157"/>
      <c r="MG41" s="157"/>
      <c r="MH41" s="157"/>
      <c r="MI41" s="157"/>
      <c r="MJ41" s="157"/>
      <c r="MK41" s="157"/>
      <c r="ML41" s="157"/>
      <c r="MM41" s="157"/>
      <c r="MN41" s="157"/>
      <c r="MO41" s="157"/>
      <c r="MP41" s="157"/>
      <c r="MQ41" s="157"/>
      <c r="MR41" s="157"/>
      <c r="MS41" s="157"/>
      <c r="MT41" s="157"/>
      <c r="MU41" s="157"/>
      <c r="MV41" s="157"/>
      <c r="MW41" s="157"/>
      <c r="MX41" s="157"/>
      <c r="MY41" s="157"/>
      <c r="MZ41" s="157"/>
      <c r="NA41" s="157"/>
      <c r="NB41" s="157"/>
      <c r="NC41" s="157"/>
      <c r="ND41" s="157"/>
      <c r="NE41" s="157"/>
      <c r="NF41" s="157"/>
      <c r="NG41" s="157"/>
      <c r="NH41" s="157"/>
      <c r="NI41" s="157"/>
      <c r="NJ41" s="157"/>
      <c r="NK41" s="157"/>
      <c r="NL41" s="157"/>
      <c r="NM41" s="157"/>
      <c r="NN41" s="157"/>
      <c r="NO41" s="157"/>
      <c r="NP41" s="157"/>
      <c r="NQ41" s="157"/>
      <c r="NR41" s="157"/>
      <c r="NS41" s="157"/>
      <c r="NT41" s="157"/>
      <c r="NU41" s="157"/>
      <c r="NV41" s="157"/>
      <c r="NW41" s="157"/>
      <c r="NX41" s="157"/>
      <c r="NY41" s="157"/>
      <c r="NZ41" s="157"/>
      <c r="OA41" s="157"/>
      <c r="OB41" s="157"/>
      <c r="OC41" s="157"/>
      <c r="OD41" s="157"/>
      <c r="OE41" s="157"/>
      <c r="OF41" s="157"/>
      <c r="OG41" s="157"/>
      <c r="OH41" s="157"/>
      <c r="OI41" s="157"/>
      <c r="OJ41" s="157"/>
      <c r="OK41" s="157"/>
      <c r="OL41" s="157"/>
    </row>
    <row r="42" spans="239:402">
      <c r="IE42" s="157"/>
      <c r="IF42" s="157"/>
      <c r="IG42" s="157"/>
      <c r="IH42" s="157"/>
      <c r="IJ42" s="157"/>
      <c r="IK42" s="157"/>
      <c r="IL42" s="157"/>
      <c r="IM42" s="157"/>
      <c r="IN42" s="157"/>
      <c r="IO42" s="157"/>
      <c r="IP42" s="157"/>
      <c r="IQ42" s="157"/>
      <c r="IR42" s="157"/>
      <c r="IS42" s="157"/>
      <c r="IT42" s="157"/>
      <c r="IU42" s="157"/>
      <c r="IV42" s="157"/>
      <c r="IW42" s="157"/>
      <c r="IX42" s="157"/>
      <c r="IY42" s="157"/>
      <c r="IZ42" s="157"/>
      <c r="JA42" s="157"/>
      <c r="JB42" s="157"/>
      <c r="JC42" s="157"/>
      <c r="JD42" s="157"/>
      <c r="JE42" s="157"/>
      <c r="JF42" s="157"/>
      <c r="JG42" s="157"/>
      <c r="JH42" s="157"/>
      <c r="JI42" s="157"/>
      <c r="JJ42" s="157"/>
      <c r="JK42" s="157"/>
      <c r="JL42" s="157"/>
      <c r="JM42" s="157"/>
      <c r="JN42" s="157"/>
      <c r="JO42" s="157"/>
      <c r="JP42" s="157"/>
      <c r="JQ42" s="157"/>
      <c r="JR42" s="157"/>
      <c r="JS42" s="157"/>
      <c r="JT42" s="157"/>
      <c r="JU42" s="157"/>
      <c r="JV42" s="157"/>
      <c r="JW42" s="157"/>
      <c r="JX42" s="157"/>
      <c r="JY42" s="157"/>
      <c r="JZ42" s="157"/>
      <c r="KA42" s="157"/>
      <c r="KB42" s="157"/>
      <c r="KC42" s="157"/>
      <c r="KD42" s="157"/>
      <c r="KE42" s="157"/>
      <c r="KF42" s="157"/>
      <c r="KG42" s="157"/>
      <c r="KH42" s="157"/>
      <c r="KI42" s="157"/>
      <c r="KJ42" s="157"/>
      <c r="KK42" s="157"/>
      <c r="KL42" s="157"/>
      <c r="KM42" s="157"/>
      <c r="KN42" s="157"/>
      <c r="KO42" s="157"/>
      <c r="KP42" s="157"/>
      <c r="KQ42" s="157"/>
      <c r="KR42" s="157"/>
      <c r="KS42" s="157"/>
      <c r="KT42" s="157"/>
      <c r="KU42" s="157"/>
      <c r="KV42" s="157"/>
      <c r="KW42" s="157"/>
      <c r="KX42" s="157"/>
      <c r="KY42" s="157"/>
      <c r="KZ42" s="157"/>
      <c r="LA42" s="157"/>
      <c r="LB42" s="157"/>
      <c r="LC42" s="157"/>
      <c r="LD42" s="157"/>
      <c r="LE42" s="157"/>
      <c r="LF42" s="157"/>
      <c r="LG42" s="157"/>
      <c r="LH42" s="157"/>
      <c r="LI42" s="157"/>
      <c r="LJ42" s="157"/>
      <c r="LK42" s="157"/>
      <c r="LL42" s="157"/>
      <c r="LM42" s="157"/>
      <c r="LN42" s="157"/>
      <c r="LO42" s="157"/>
      <c r="LP42" s="157"/>
      <c r="LQ42" s="157"/>
      <c r="LR42" s="157"/>
      <c r="LS42" s="157"/>
      <c r="LT42" s="157"/>
      <c r="LU42" s="157"/>
      <c r="LV42" s="157"/>
      <c r="LW42" s="157"/>
      <c r="LX42" s="157"/>
      <c r="LY42" s="157"/>
      <c r="LZ42" s="157"/>
      <c r="MA42" s="157"/>
      <c r="MB42" s="157"/>
      <c r="MC42" s="157"/>
      <c r="MD42" s="157"/>
      <c r="ME42" s="157"/>
      <c r="MF42" s="157"/>
      <c r="MG42" s="157"/>
      <c r="MH42" s="157"/>
      <c r="MI42" s="157"/>
      <c r="MJ42" s="157"/>
      <c r="MK42" s="157"/>
      <c r="ML42" s="157"/>
      <c r="MM42" s="157"/>
      <c r="MN42" s="157"/>
      <c r="MO42" s="157"/>
      <c r="MP42" s="157"/>
      <c r="MQ42" s="157"/>
      <c r="MR42" s="157"/>
      <c r="MS42" s="157"/>
      <c r="MT42" s="157"/>
      <c r="MU42" s="157"/>
      <c r="MV42" s="157"/>
      <c r="MW42" s="157"/>
      <c r="MX42" s="157"/>
      <c r="MY42" s="157"/>
      <c r="MZ42" s="157"/>
      <c r="NA42" s="157"/>
      <c r="NB42" s="157"/>
      <c r="NC42" s="157"/>
      <c r="ND42" s="157"/>
      <c r="NE42" s="157"/>
      <c r="NF42" s="157"/>
      <c r="NG42" s="157"/>
      <c r="NH42" s="157"/>
      <c r="NI42" s="157"/>
      <c r="NJ42" s="157"/>
      <c r="NK42" s="157"/>
      <c r="NL42" s="157"/>
      <c r="NM42" s="157"/>
      <c r="NN42" s="157"/>
      <c r="NO42" s="157"/>
      <c r="NP42" s="157"/>
      <c r="NQ42" s="157"/>
      <c r="NR42" s="157"/>
      <c r="NS42" s="157"/>
      <c r="NT42" s="157"/>
      <c r="NU42" s="157"/>
      <c r="NV42" s="157"/>
      <c r="NW42" s="157"/>
      <c r="NX42" s="157"/>
      <c r="NY42" s="157"/>
      <c r="NZ42" s="157"/>
      <c r="OA42" s="157"/>
      <c r="OB42" s="157"/>
      <c r="OC42" s="157"/>
      <c r="OD42" s="157"/>
      <c r="OE42" s="157"/>
      <c r="OF42" s="157"/>
      <c r="OG42" s="157"/>
      <c r="OH42" s="157"/>
      <c r="OI42" s="157"/>
      <c r="OJ42" s="157"/>
      <c r="OK42" s="157"/>
      <c r="OL42" s="157"/>
    </row>
    <row r="43" spans="239:402" ht="51">
      <c r="IE43" s="157"/>
      <c r="IF43" s="157"/>
      <c r="IG43" s="157"/>
      <c r="IH43" s="157"/>
      <c r="IJ43" s="157"/>
      <c r="IK43" s="157"/>
      <c r="IL43" s="157"/>
      <c r="IM43" s="157"/>
      <c r="IN43" s="157"/>
      <c r="IO43" s="157"/>
      <c r="IP43" s="157"/>
      <c r="IQ43" s="157"/>
      <c r="IR43" s="157"/>
      <c r="IS43" s="157"/>
      <c r="IT43" s="157"/>
      <c r="IU43" s="157"/>
      <c r="IV43" s="157"/>
      <c r="IW43" s="157"/>
      <c r="IX43" s="157"/>
      <c r="IY43" s="157"/>
      <c r="IZ43" s="157"/>
      <c r="JA43" s="157"/>
      <c r="JB43" s="157"/>
      <c r="JC43" s="157"/>
      <c r="JD43" s="157"/>
      <c r="JE43" s="157"/>
      <c r="JF43" s="157"/>
      <c r="JG43" s="157"/>
      <c r="JH43" s="157"/>
      <c r="JI43" s="157"/>
      <c r="JJ43" s="157"/>
      <c r="JK43" s="157"/>
      <c r="JL43" s="157"/>
      <c r="JM43" s="157"/>
      <c r="JN43" s="157"/>
      <c r="JO43" s="157"/>
      <c r="JP43" s="157"/>
      <c r="JQ43" s="157"/>
      <c r="JR43" s="157"/>
      <c r="JS43" s="157"/>
      <c r="JT43" s="157"/>
      <c r="JU43" s="157"/>
      <c r="JV43" s="157"/>
      <c r="JW43" s="157"/>
      <c r="JX43" s="157"/>
      <c r="JY43" s="157"/>
      <c r="JZ43" s="157"/>
      <c r="KA43" s="157"/>
      <c r="KB43" s="157"/>
      <c r="KC43" s="157"/>
      <c r="KD43" s="157"/>
      <c r="KE43" s="157"/>
      <c r="KF43" s="157"/>
      <c r="KG43" s="157"/>
      <c r="KH43" s="157"/>
      <c r="KI43" s="157"/>
      <c r="KJ43" s="157"/>
      <c r="KK43" s="157"/>
      <c r="KL43" s="157"/>
      <c r="KM43" s="157"/>
      <c r="KN43" s="157"/>
      <c r="KO43" s="157"/>
      <c r="KP43" s="157"/>
      <c r="KQ43" s="157"/>
      <c r="KR43" s="157"/>
      <c r="KS43" s="157"/>
      <c r="KT43" s="157"/>
      <c r="KU43" s="157"/>
      <c r="KV43" s="157"/>
      <c r="KW43" s="157"/>
      <c r="KX43" s="157"/>
      <c r="KY43" s="157"/>
      <c r="KZ43" s="157"/>
      <c r="LA43" s="157"/>
      <c r="LB43" s="157"/>
      <c r="LC43" s="157"/>
      <c r="LD43" s="157"/>
      <c r="LE43" s="157"/>
      <c r="LF43" s="157"/>
      <c r="LG43" s="157"/>
      <c r="LH43" s="157"/>
      <c r="LI43" s="157"/>
      <c r="LJ43" s="157"/>
      <c r="LK43" s="157"/>
      <c r="LL43" s="157"/>
      <c r="LM43" s="157"/>
      <c r="LN43" s="157"/>
      <c r="LO43" s="157"/>
      <c r="LP43" s="157"/>
      <c r="LQ43" s="157"/>
      <c r="LR43" s="157"/>
      <c r="LS43" s="157"/>
      <c r="LT43" s="157"/>
      <c r="LU43" s="157"/>
      <c r="LV43" s="157"/>
      <c r="LW43" s="157"/>
      <c r="LX43" s="157"/>
      <c r="LY43" s="157"/>
      <c r="LZ43" s="157"/>
      <c r="MA43" s="157"/>
      <c r="MB43" s="157"/>
      <c r="MC43" s="157"/>
      <c r="MD43" s="157"/>
      <c r="ME43" s="157"/>
      <c r="MF43" s="178" t="s">
        <v>374</v>
      </c>
      <c r="MG43" s="160" t="s">
        <v>183</v>
      </c>
      <c r="MH43" s="160" t="s">
        <v>95</v>
      </c>
      <c r="MI43" s="160" t="s">
        <v>198</v>
      </c>
      <c r="MJ43" s="160" t="s">
        <v>184</v>
      </c>
      <c r="MK43" s="157"/>
      <c r="ML43" s="160" t="s">
        <v>185</v>
      </c>
      <c r="MM43" s="160" t="s">
        <v>186</v>
      </c>
      <c r="MN43" s="160" t="s">
        <v>190</v>
      </c>
      <c r="MO43" s="160" t="s">
        <v>192</v>
      </c>
      <c r="MP43" s="157"/>
      <c r="MQ43" s="160" t="s">
        <v>108</v>
      </c>
      <c r="MR43" s="160" t="s">
        <v>106</v>
      </c>
      <c r="MS43" s="160" t="s">
        <v>107</v>
      </c>
      <c r="MT43" s="160" t="s">
        <v>197</v>
      </c>
      <c r="MU43" s="157"/>
      <c r="MV43" s="157"/>
      <c r="MW43" s="157"/>
      <c r="MX43" s="157"/>
      <c r="MY43" s="157"/>
      <c r="MZ43" s="157"/>
      <c r="NA43" s="157"/>
      <c r="NB43" s="157"/>
      <c r="NC43" s="157"/>
      <c r="ND43" s="157"/>
      <c r="NE43" s="157"/>
      <c r="NF43" s="157"/>
      <c r="NG43" s="157"/>
      <c r="NH43" s="157"/>
      <c r="NI43" s="157"/>
      <c r="NJ43" s="157"/>
      <c r="NK43" s="157"/>
      <c r="NL43" s="157"/>
      <c r="NM43" s="157"/>
      <c r="NN43" s="157"/>
      <c r="NO43" s="157"/>
      <c r="NP43" s="157"/>
      <c r="NQ43" s="157"/>
      <c r="NR43" s="157"/>
      <c r="NS43" s="157"/>
      <c r="NT43" s="157"/>
      <c r="NU43" s="157"/>
      <c r="NV43" s="157"/>
      <c r="NW43" s="157"/>
      <c r="NX43" s="157"/>
      <c r="NY43" s="157"/>
      <c r="NZ43" s="157"/>
      <c r="OA43" s="157"/>
      <c r="OB43" s="157"/>
      <c r="OC43" s="157"/>
      <c r="OD43" s="157"/>
      <c r="OE43" s="157"/>
      <c r="OF43" s="157"/>
      <c r="OG43" s="157"/>
      <c r="OH43" s="157"/>
      <c r="OI43" s="157"/>
      <c r="OJ43" s="157"/>
      <c r="OK43" s="157"/>
      <c r="OL43" s="157"/>
    </row>
    <row r="44" spans="239:402">
      <c r="IE44" s="157"/>
      <c r="IF44" s="157"/>
      <c r="IG44" s="157"/>
      <c r="IH44" s="157"/>
      <c r="IJ44" s="157"/>
      <c r="IK44" s="157"/>
      <c r="IL44" s="157"/>
      <c r="IM44" s="157"/>
      <c r="IN44" s="157"/>
      <c r="IO44" s="157"/>
      <c r="IP44" s="157"/>
      <c r="IQ44" s="157"/>
      <c r="IR44" s="157"/>
      <c r="IS44" s="157"/>
      <c r="IT44" s="157"/>
      <c r="IU44" s="157"/>
      <c r="IV44" s="157"/>
      <c r="IW44" s="157"/>
      <c r="IX44" s="157"/>
      <c r="IY44" s="157"/>
      <c r="IZ44" s="157"/>
      <c r="JA44" s="157"/>
      <c r="JB44" s="157"/>
      <c r="JC44" s="157"/>
      <c r="JD44" s="157"/>
      <c r="JE44" s="157"/>
      <c r="JF44" s="157"/>
      <c r="JG44" s="157"/>
      <c r="JH44" s="157"/>
      <c r="JI44" s="157"/>
      <c r="JJ44" s="157"/>
      <c r="JK44" s="157"/>
      <c r="JL44" s="157"/>
      <c r="JM44" s="157"/>
      <c r="JN44" s="157"/>
      <c r="JO44" s="157"/>
      <c r="JP44" s="157"/>
      <c r="JQ44" s="157"/>
      <c r="JR44" s="157"/>
      <c r="JS44" s="157"/>
      <c r="JT44" s="157"/>
      <c r="JU44" s="157"/>
      <c r="JV44" s="157"/>
      <c r="JW44" s="157"/>
      <c r="JX44" s="157"/>
      <c r="JY44" s="157"/>
      <c r="JZ44" s="157"/>
      <c r="KA44" s="157"/>
      <c r="KB44" s="157"/>
      <c r="KC44" s="157"/>
      <c r="KD44" s="157"/>
      <c r="KE44" s="157"/>
      <c r="KF44" s="157"/>
      <c r="KG44" s="157"/>
      <c r="KH44" s="157"/>
      <c r="KI44" s="157"/>
      <c r="KJ44" s="157"/>
      <c r="KK44" s="157"/>
      <c r="KL44" s="157"/>
      <c r="KM44" s="157"/>
      <c r="KN44" s="157"/>
      <c r="KO44" s="157"/>
      <c r="KP44" s="157"/>
      <c r="KQ44" s="157"/>
      <c r="KR44" s="157"/>
      <c r="KS44" s="157"/>
      <c r="KT44" s="157"/>
      <c r="KU44" s="157"/>
      <c r="KV44" s="157"/>
      <c r="KW44" s="157"/>
      <c r="KX44" s="157"/>
      <c r="KY44" s="157"/>
      <c r="KZ44" s="157"/>
      <c r="LA44" s="157"/>
      <c r="LB44" s="157"/>
      <c r="LC44" s="157"/>
      <c r="LD44" s="157"/>
      <c r="LE44" s="157"/>
      <c r="LF44" s="157"/>
      <c r="LG44" s="157"/>
      <c r="LH44" s="157"/>
      <c r="LI44" s="157"/>
      <c r="LJ44" s="157"/>
      <c r="LK44" s="157"/>
      <c r="LL44" s="157"/>
      <c r="LM44" s="157"/>
      <c r="LN44" s="157"/>
      <c r="LO44" s="157"/>
      <c r="LP44" s="157"/>
      <c r="LQ44" s="157"/>
      <c r="LR44" s="157"/>
      <c r="LS44" s="157"/>
      <c r="LT44" s="157"/>
      <c r="LU44" s="157"/>
      <c r="LV44" s="157"/>
      <c r="LW44" s="157"/>
      <c r="LX44" s="157"/>
      <c r="LY44" s="157"/>
      <c r="LZ44" s="157"/>
      <c r="MA44" s="157"/>
      <c r="MB44" s="157"/>
      <c r="MC44" s="157"/>
      <c r="MD44" s="157"/>
      <c r="ME44" s="157"/>
      <c r="MF44" s="164" t="s">
        <v>81</v>
      </c>
      <c r="MG44" s="162">
        <v>304936</v>
      </c>
      <c r="MH44" s="162">
        <v>-2231</v>
      </c>
      <c r="MI44" s="162">
        <v>-23008</v>
      </c>
      <c r="MJ44" s="162">
        <v>1465831</v>
      </c>
      <c r="MK44" s="157"/>
      <c r="ML44" s="162">
        <v>344248</v>
      </c>
      <c r="MM44" s="162">
        <v>30610</v>
      </c>
      <c r="MN44" s="162">
        <v>4342</v>
      </c>
      <c r="MO44" s="162">
        <v>1465831</v>
      </c>
      <c r="MP44" s="157"/>
      <c r="MQ44" s="162">
        <v>375593</v>
      </c>
      <c r="MR44" s="162">
        <v>64483</v>
      </c>
      <c r="MS44" s="162">
        <v>38486</v>
      </c>
      <c r="MT44" s="162">
        <v>1465831</v>
      </c>
      <c r="MU44" s="157"/>
      <c r="MV44" s="157"/>
      <c r="MW44" s="157"/>
      <c r="MX44" s="157"/>
      <c r="MY44" s="157"/>
      <c r="MZ44" s="157"/>
      <c r="NA44" s="157"/>
      <c r="NB44" s="157"/>
      <c r="NC44" s="157"/>
      <c r="ND44" s="157"/>
      <c r="NE44" s="157"/>
      <c r="NF44" s="157"/>
      <c r="NG44" s="157"/>
      <c r="NH44" s="157"/>
      <c r="NI44" s="157"/>
      <c r="NJ44" s="157"/>
      <c r="NK44" s="157"/>
      <c r="NL44" s="157"/>
      <c r="NM44" s="157"/>
      <c r="NN44" s="157"/>
      <c r="NO44" s="157"/>
      <c r="NP44" s="157"/>
      <c r="NQ44" s="157"/>
      <c r="NR44" s="157"/>
      <c r="NS44" s="157"/>
      <c r="NT44" s="157"/>
      <c r="NU44" s="157"/>
      <c r="NV44" s="157"/>
      <c r="NW44" s="157"/>
      <c r="NX44" s="157"/>
      <c r="NY44" s="157"/>
      <c r="NZ44" s="157"/>
      <c r="OA44" s="157"/>
      <c r="OB44" s="157"/>
      <c r="OC44" s="157"/>
      <c r="OD44" s="157"/>
      <c r="OE44" s="157"/>
      <c r="OF44" s="157"/>
      <c r="OG44" s="157"/>
      <c r="OH44" s="157"/>
      <c r="OI44" s="157"/>
      <c r="OJ44" s="157"/>
      <c r="OK44" s="157"/>
      <c r="OL44" s="157"/>
    </row>
    <row r="45" spans="239:402">
      <c r="IE45" s="157"/>
      <c r="IF45" s="157"/>
      <c r="IG45" s="157"/>
      <c r="IH45" s="157"/>
      <c r="IJ45" s="157"/>
      <c r="IK45" s="157"/>
      <c r="IL45" s="157"/>
      <c r="IM45" s="157"/>
      <c r="IN45" s="157"/>
      <c r="IO45" s="157"/>
      <c r="IP45" s="157"/>
      <c r="IQ45" s="157"/>
      <c r="IR45" s="157"/>
      <c r="IS45" s="157"/>
      <c r="IT45" s="157"/>
      <c r="IU45" s="157"/>
      <c r="IV45" s="157"/>
      <c r="IW45" s="157"/>
      <c r="IX45" s="157"/>
      <c r="IY45" s="157"/>
      <c r="IZ45" s="157"/>
      <c r="JA45" s="157"/>
      <c r="JB45" s="157"/>
      <c r="JC45" s="157"/>
      <c r="JD45" s="157"/>
      <c r="JE45" s="157"/>
      <c r="JF45" s="157"/>
      <c r="JG45" s="157"/>
      <c r="JH45" s="157"/>
      <c r="JI45" s="157"/>
      <c r="JJ45" s="157"/>
      <c r="JK45" s="157"/>
      <c r="JL45" s="157"/>
      <c r="JM45" s="157"/>
      <c r="JN45" s="157"/>
      <c r="JO45" s="157"/>
      <c r="JP45" s="157"/>
      <c r="JQ45" s="157"/>
      <c r="JR45" s="157"/>
      <c r="JS45" s="157"/>
      <c r="JT45" s="157"/>
      <c r="JU45" s="157"/>
      <c r="JV45" s="157"/>
      <c r="JW45" s="157"/>
      <c r="JX45" s="157"/>
      <c r="JY45" s="157"/>
      <c r="JZ45" s="157"/>
      <c r="KA45" s="157"/>
      <c r="KB45" s="157"/>
      <c r="KC45" s="157"/>
      <c r="KD45" s="157"/>
      <c r="KE45" s="157"/>
      <c r="KF45" s="157"/>
      <c r="KG45" s="157"/>
      <c r="KH45" s="157"/>
      <c r="KI45" s="157"/>
      <c r="KJ45" s="157"/>
      <c r="KK45" s="157"/>
      <c r="KL45" s="157"/>
      <c r="KM45" s="157"/>
      <c r="KN45" s="157"/>
      <c r="KO45" s="157"/>
      <c r="KP45" s="157"/>
      <c r="KQ45" s="157"/>
      <c r="KR45" s="157"/>
      <c r="KS45" s="157"/>
      <c r="KT45" s="157"/>
      <c r="KU45" s="157"/>
      <c r="KV45" s="157"/>
      <c r="KW45" s="157"/>
      <c r="KX45" s="157"/>
      <c r="KY45" s="157"/>
      <c r="KZ45" s="157"/>
      <c r="LA45" s="157"/>
      <c r="LB45" s="157"/>
      <c r="LC45" s="157"/>
      <c r="LD45" s="157"/>
      <c r="LE45" s="157"/>
      <c r="LF45" s="157"/>
      <c r="LG45" s="157"/>
      <c r="LH45" s="157"/>
      <c r="LI45" s="157"/>
      <c r="LJ45" s="157"/>
      <c r="LK45" s="157"/>
      <c r="LL45" s="157"/>
      <c r="LM45" s="157"/>
      <c r="LN45" s="157"/>
      <c r="LO45" s="157"/>
      <c r="LP45" s="157"/>
      <c r="LQ45" s="157"/>
      <c r="LR45" s="157"/>
      <c r="LS45" s="157"/>
      <c r="LT45" s="157"/>
      <c r="LU45" s="157"/>
      <c r="LV45" s="157"/>
      <c r="LW45" s="157"/>
      <c r="LX45" s="157"/>
      <c r="LY45" s="157"/>
      <c r="LZ45" s="157"/>
      <c r="MA45" s="157"/>
      <c r="MB45" s="157"/>
      <c r="MC45" s="157"/>
      <c r="MD45" s="157"/>
      <c r="ME45" s="157"/>
      <c r="MF45" s="163" t="s">
        <v>82</v>
      </c>
      <c r="MG45" s="156">
        <v>1234695</v>
      </c>
      <c r="MH45" s="156">
        <v>-88343</v>
      </c>
      <c r="MI45" s="156">
        <v>-204787</v>
      </c>
      <c r="MJ45" s="180">
        <v>8646833</v>
      </c>
      <c r="MK45" s="157"/>
      <c r="ML45" s="156">
        <v>1069434</v>
      </c>
      <c r="MM45" s="156">
        <v>89056</v>
      </c>
      <c r="MN45" s="156">
        <v>-23575</v>
      </c>
      <c r="MO45" s="180">
        <v>8646833</v>
      </c>
      <c r="MP45" s="157"/>
      <c r="MQ45" s="156">
        <v>1063065</v>
      </c>
      <c r="MR45" s="156">
        <v>-129465</v>
      </c>
      <c r="MS45" s="156">
        <v>-258674</v>
      </c>
      <c r="MT45" s="180">
        <v>8646833</v>
      </c>
      <c r="MU45" s="157"/>
      <c r="MV45" s="157"/>
      <c r="MW45" s="157"/>
      <c r="MX45" s="157"/>
      <c r="MY45" s="157"/>
      <c r="MZ45" s="157"/>
      <c r="NA45" s="157"/>
      <c r="NB45" s="157"/>
      <c r="NC45" s="157"/>
      <c r="ND45" s="157"/>
      <c r="NE45" s="157"/>
      <c r="NF45" s="157"/>
      <c r="NG45" s="157"/>
      <c r="NH45" s="157"/>
      <c r="NI45" s="157"/>
      <c r="NJ45" s="157"/>
      <c r="NK45" s="157"/>
      <c r="NL45" s="157"/>
      <c r="NM45" s="157"/>
      <c r="NN45" s="157"/>
      <c r="NO45" s="157"/>
      <c r="NP45" s="157"/>
      <c r="NQ45" s="157"/>
      <c r="NR45" s="157"/>
      <c r="NS45" s="157"/>
      <c r="NT45" s="157"/>
      <c r="NU45" s="157"/>
      <c r="NV45" s="157"/>
      <c r="NW45" s="157"/>
      <c r="NX45" s="157"/>
      <c r="NY45" s="157"/>
      <c r="NZ45" s="157"/>
      <c r="OA45" s="157"/>
      <c r="OB45" s="157"/>
      <c r="OC45" s="157"/>
      <c r="OD45" s="157"/>
      <c r="OE45" s="157"/>
      <c r="OF45" s="157"/>
      <c r="OG45" s="157"/>
      <c r="OH45" s="157"/>
      <c r="OI45" s="157"/>
      <c r="OJ45" s="157"/>
      <c r="OK45" s="157"/>
      <c r="OL45" s="157"/>
    </row>
    <row r="46" spans="239:402">
      <c r="IE46" s="157"/>
      <c r="IF46" s="157"/>
      <c r="IG46" s="157"/>
      <c r="IH46" s="157"/>
      <c r="IJ46" s="157"/>
      <c r="IK46" s="157"/>
      <c r="IL46" s="157"/>
      <c r="IM46" s="157"/>
      <c r="IN46" s="157"/>
      <c r="IO46" s="157"/>
      <c r="IP46" s="157"/>
      <c r="IQ46" s="157"/>
      <c r="IR46" s="157"/>
      <c r="IS46" s="157"/>
      <c r="IT46" s="157"/>
      <c r="IU46" s="157"/>
      <c r="IV46" s="157"/>
      <c r="IW46" s="157"/>
      <c r="IX46" s="157"/>
      <c r="IY46" s="157"/>
      <c r="IZ46" s="157"/>
      <c r="JA46" s="157"/>
      <c r="JB46" s="157"/>
      <c r="JC46" s="157"/>
      <c r="JD46" s="157"/>
      <c r="JE46" s="157"/>
      <c r="JF46" s="157"/>
      <c r="JG46" s="157"/>
      <c r="JH46" s="157"/>
      <c r="JI46" s="157"/>
      <c r="JJ46" s="157"/>
      <c r="JK46" s="157"/>
      <c r="JL46" s="157"/>
      <c r="JM46" s="157"/>
      <c r="JN46" s="157"/>
      <c r="JO46" s="157"/>
      <c r="JP46" s="157"/>
      <c r="JQ46" s="157"/>
      <c r="JR46" s="157"/>
      <c r="JS46" s="157"/>
      <c r="JT46" s="157"/>
      <c r="JU46" s="157"/>
      <c r="JV46" s="157"/>
      <c r="JW46" s="157"/>
      <c r="JX46" s="157"/>
      <c r="JY46" s="157"/>
      <c r="JZ46" s="157"/>
      <c r="KA46" s="157"/>
      <c r="KB46" s="157"/>
      <c r="KC46" s="157"/>
      <c r="KD46" s="157"/>
      <c r="KE46" s="157"/>
      <c r="KF46" s="157"/>
      <c r="KG46" s="157"/>
      <c r="KH46" s="157"/>
      <c r="KI46" s="157"/>
      <c r="KJ46" s="157"/>
      <c r="KK46" s="157"/>
      <c r="KL46" s="157"/>
      <c r="KM46" s="157"/>
      <c r="KN46" s="157"/>
      <c r="KO46" s="157"/>
      <c r="KP46" s="157"/>
      <c r="KQ46" s="157"/>
      <c r="KR46" s="157"/>
      <c r="KS46" s="157"/>
      <c r="KT46" s="157"/>
      <c r="KU46" s="157"/>
      <c r="KV46" s="157"/>
      <c r="KW46" s="157"/>
      <c r="KX46" s="157"/>
      <c r="KY46" s="157"/>
      <c r="KZ46" s="157"/>
      <c r="LA46" s="157"/>
      <c r="LB46" s="157"/>
      <c r="LC46" s="157"/>
      <c r="LD46" s="157"/>
      <c r="LE46" s="157"/>
      <c r="LF46" s="157"/>
      <c r="LG46" s="157"/>
      <c r="LH46" s="157"/>
      <c r="LI46" s="157"/>
      <c r="LJ46" s="157"/>
      <c r="LK46" s="157"/>
      <c r="LL46" s="157"/>
      <c r="LM46" s="157"/>
      <c r="LN46" s="157"/>
      <c r="LO46" s="157"/>
      <c r="LP46" s="157"/>
      <c r="LQ46" s="157"/>
      <c r="LR46" s="157"/>
      <c r="LS46" s="157"/>
      <c r="LT46" s="157"/>
      <c r="LU46" s="157"/>
      <c r="LV46" s="157"/>
      <c r="LW46" s="157"/>
      <c r="LX46" s="157"/>
      <c r="LY46" s="157"/>
      <c r="LZ46" s="157"/>
      <c r="MA46" s="157"/>
      <c r="MB46" s="157"/>
      <c r="MC46" s="157"/>
      <c r="MD46" s="157"/>
      <c r="ME46" s="157"/>
      <c r="MF46" s="163" t="s">
        <v>83</v>
      </c>
      <c r="MG46" s="156">
        <v>75595</v>
      </c>
      <c r="MH46" s="156">
        <v>51721</v>
      </c>
      <c r="MI46" s="156">
        <v>36103</v>
      </c>
      <c r="MJ46" s="180">
        <v>1944940</v>
      </c>
      <c r="MK46" s="157"/>
      <c r="ML46" s="156">
        <v>36445</v>
      </c>
      <c r="MM46" s="156">
        <v>21782</v>
      </c>
      <c r="MN46" s="156">
        <v>12906</v>
      </c>
      <c r="MO46" s="180">
        <v>1944940</v>
      </c>
      <c r="MP46" s="157"/>
      <c r="MQ46" s="156">
        <v>50919</v>
      </c>
      <c r="MR46" s="156">
        <v>34878</v>
      </c>
      <c r="MS46" s="156">
        <v>25991</v>
      </c>
      <c r="MT46" s="180">
        <v>1944940</v>
      </c>
      <c r="MU46" s="157"/>
      <c r="MV46" s="157"/>
      <c r="MW46" s="157"/>
      <c r="MX46" s="157"/>
      <c r="MY46" s="157"/>
      <c r="MZ46" s="157"/>
      <c r="NA46" s="157"/>
      <c r="NB46" s="157"/>
      <c r="NC46" s="157"/>
      <c r="ND46" s="157"/>
      <c r="NE46" s="157"/>
      <c r="NF46" s="157"/>
      <c r="NG46" s="157"/>
      <c r="NH46" s="157"/>
      <c r="NI46" s="157"/>
      <c r="NJ46" s="157"/>
      <c r="NK46" s="157"/>
      <c r="NL46" s="157"/>
      <c r="NM46" s="157"/>
      <c r="NN46" s="157"/>
      <c r="NO46" s="157"/>
      <c r="NP46" s="157"/>
      <c r="NQ46" s="157"/>
      <c r="NR46" s="157"/>
      <c r="NS46" s="157"/>
      <c r="NT46" s="157"/>
      <c r="NU46" s="157"/>
      <c r="NV46" s="157"/>
      <c r="NW46" s="157"/>
      <c r="NX46" s="157"/>
      <c r="NY46" s="157"/>
      <c r="NZ46" s="157"/>
      <c r="OA46" s="157"/>
      <c r="OB46" s="157"/>
      <c r="OC46" s="157"/>
      <c r="OD46" s="157"/>
      <c r="OE46" s="157"/>
      <c r="OF46" s="157"/>
      <c r="OG46" s="157"/>
      <c r="OH46" s="157"/>
      <c r="OI46" s="157"/>
      <c r="OJ46" s="157"/>
      <c r="OK46" s="157"/>
      <c r="OL46" s="157"/>
    </row>
    <row r="47" spans="239:402">
      <c r="IE47" s="157"/>
      <c r="IF47" s="157"/>
      <c r="IG47" s="157"/>
      <c r="IH47" s="157"/>
      <c r="IJ47" s="157"/>
      <c r="IK47" s="157"/>
      <c r="IL47" s="157"/>
      <c r="IM47" s="157"/>
      <c r="IN47" s="157"/>
      <c r="IO47" s="157"/>
      <c r="IP47" s="157"/>
      <c r="IQ47" s="157"/>
      <c r="IR47" s="157"/>
      <c r="IS47" s="157"/>
      <c r="IT47" s="157"/>
      <c r="IU47" s="157"/>
      <c r="IV47" s="157"/>
      <c r="IW47" s="157"/>
      <c r="IX47" s="157"/>
      <c r="IY47" s="157"/>
      <c r="IZ47" s="157"/>
      <c r="JA47" s="157"/>
      <c r="JB47" s="157"/>
      <c r="JC47" s="157"/>
      <c r="JD47" s="157"/>
      <c r="JE47" s="157"/>
      <c r="JF47" s="157"/>
      <c r="JG47" s="157"/>
      <c r="JH47" s="157"/>
      <c r="JI47" s="157"/>
      <c r="JJ47" s="157"/>
      <c r="JK47" s="157"/>
      <c r="JL47" s="157"/>
      <c r="JM47" s="157"/>
      <c r="JN47" s="157"/>
      <c r="JO47" s="157"/>
      <c r="JP47" s="157"/>
      <c r="JQ47" s="157"/>
      <c r="JR47" s="157"/>
      <c r="JS47" s="157"/>
      <c r="JT47" s="157"/>
      <c r="JU47" s="157"/>
      <c r="JV47" s="157"/>
      <c r="JW47" s="157"/>
      <c r="JX47" s="157"/>
      <c r="JY47" s="157"/>
      <c r="JZ47" s="157"/>
      <c r="KA47" s="157"/>
      <c r="KB47" s="157"/>
      <c r="KC47" s="157"/>
      <c r="KD47" s="157"/>
      <c r="KE47" s="157"/>
      <c r="KF47" s="157"/>
      <c r="KG47" s="157"/>
      <c r="KH47" s="157"/>
      <c r="KI47" s="157"/>
      <c r="KJ47" s="157"/>
      <c r="KK47" s="157"/>
      <c r="KL47" s="157"/>
      <c r="KM47" s="157"/>
      <c r="KN47" s="157"/>
      <c r="KO47" s="157"/>
      <c r="KP47" s="157"/>
      <c r="KQ47" s="157"/>
      <c r="KR47" s="157"/>
      <c r="KS47" s="157"/>
      <c r="KT47" s="157"/>
      <c r="KU47" s="157"/>
      <c r="KV47" s="157"/>
      <c r="KW47" s="157"/>
      <c r="KX47" s="157"/>
      <c r="KY47" s="157"/>
      <c r="KZ47" s="157"/>
      <c r="LA47" s="157"/>
      <c r="LB47" s="157"/>
      <c r="LC47" s="157"/>
      <c r="LD47" s="157"/>
      <c r="LE47" s="157"/>
      <c r="LF47" s="157"/>
      <c r="LG47" s="157"/>
      <c r="LH47" s="157"/>
      <c r="LI47" s="157"/>
      <c r="LJ47" s="157"/>
      <c r="LK47" s="157"/>
      <c r="LL47" s="157"/>
      <c r="LM47" s="157"/>
      <c r="LN47" s="157"/>
      <c r="LO47" s="157"/>
      <c r="LP47" s="157"/>
      <c r="LQ47" s="157"/>
      <c r="LR47" s="157"/>
      <c r="LS47" s="157"/>
      <c r="LT47" s="157"/>
      <c r="LU47" s="157"/>
      <c r="LV47" s="157"/>
      <c r="LW47" s="157"/>
      <c r="LX47" s="157"/>
      <c r="LY47" s="157"/>
      <c r="LZ47" s="157"/>
      <c r="MA47" s="157"/>
      <c r="MB47" s="157"/>
      <c r="MC47" s="157"/>
      <c r="MD47" s="157"/>
      <c r="ME47" s="157"/>
      <c r="MF47" s="163" t="s">
        <v>84</v>
      </c>
      <c r="MG47" s="156">
        <v>412047</v>
      </c>
      <c r="MH47" s="156">
        <v>70560</v>
      </c>
      <c r="MI47" s="156">
        <v>34808</v>
      </c>
      <c r="MJ47" s="156">
        <v>2169616</v>
      </c>
      <c r="MK47" s="157"/>
      <c r="ML47" s="156">
        <v>242199</v>
      </c>
      <c r="MM47" s="156">
        <v>32175</v>
      </c>
      <c r="MN47" s="156">
        <v>1157</v>
      </c>
      <c r="MO47" s="156">
        <v>2169616</v>
      </c>
      <c r="MP47" s="157"/>
      <c r="MQ47" s="156">
        <v>261695</v>
      </c>
      <c r="MR47" s="156">
        <v>27278</v>
      </c>
      <c r="MS47" s="156">
        <v>-1712</v>
      </c>
      <c r="MT47" s="156">
        <v>2169616</v>
      </c>
      <c r="MU47" s="157"/>
      <c r="MV47" s="157"/>
      <c r="MW47" s="157"/>
      <c r="MX47" s="157"/>
      <c r="MY47" s="157"/>
      <c r="MZ47" s="157"/>
      <c r="NA47" s="157"/>
      <c r="NB47" s="157"/>
      <c r="NC47" s="157"/>
      <c r="ND47" s="157"/>
      <c r="NE47" s="157"/>
      <c r="NF47" s="157"/>
      <c r="NG47" s="157"/>
      <c r="NH47" s="157"/>
      <c r="NI47" s="157"/>
      <c r="NJ47" s="157"/>
      <c r="NK47" s="157"/>
      <c r="NL47" s="157"/>
      <c r="NM47" s="157"/>
      <c r="NN47" s="157"/>
      <c r="NO47" s="157"/>
      <c r="NP47" s="157"/>
      <c r="NQ47" s="157"/>
      <c r="NR47" s="157"/>
      <c r="NS47" s="157"/>
      <c r="NT47" s="157"/>
      <c r="NU47" s="157"/>
      <c r="NV47" s="157"/>
      <c r="NW47" s="157"/>
      <c r="NX47" s="157"/>
      <c r="NY47" s="157"/>
      <c r="NZ47" s="157"/>
      <c r="OA47" s="157"/>
      <c r="OB47" s="157"/>
      <c r="OC47" s="157"/>
      <c r="OD47" s="157"/>
      <c r="OE47" s="157"/>
      <c r="OF47" s="157"/>
      <c r="OG47" s="157"/>
      <c r="OH47" s="157"/>
      <c r="OI47" s="157"/>
      <c r="OJ47" s="157"/>
      <c r="OK47" s="157"/>
      <c r="OL47" s="157"/>
    </row>
    <row r="48" spans="239:402">
      <c r="IE48" s="157"/>
      <c r="IF48" s="157"/>
      <c r="IG48" s="157"/>
      <c r="IH48" s="157"/>
      <c r="IJ48" s="157"/>
      <c r="IK48" s="157"/>
      <c r="IL48" s="157"/>
      <c r="IM48" s="157"/>
      <c r="IN48" s="157"/>
      <c r="IO48" s="157"/>
      <c r="IP48" s="157"/>
      <c r="IQ48" s="157"/>
      <c r="IR48" s="157"/>
      <c r="IS48" s="157"/>
      <c r="IT48" s="157"/>
      <c r="IU48" s="157"/>
      <c r="IV48" s="157"/>
      <c r="IW48" s="157"/>
      <c r="IX48" s="157"/>
      <c r="IY48" s="157"/>
      <c r="IZ48" s="157"/>
      <c r="JA48" s="157"/>
      <c r="JB48" s="157"/>
      <c r="JC48" s="157"/>
      <c r="JD48" s="157"/>
      <c r="JE48" s="157"/>
      <c r="JF48" s="157"/>
      <c r="JG48" s="157"/>
      <c r="JH48" s="157"/>
      <c r="JI48" s="157"/>
      <c r="JJ48" s="157"/>
      <c r="JK48" s="157"/>
      <c r="JL48" s="157"/>
      <c r="JM48" s="157"/>
      <c r="JN48" s="157"/>
      <c r="JO48" s="157"/>
      <c r="JP48" s="157"/>
      <c r="JQ48" s="157"/>
      <c r="JR48" s="157"/>
      <c r="JS48" s="157"/>
      <c r="JT48" s="157"/>
      <c r="JU48" s="157"/>
      <c r="JV48" s="157"/>
      <c r="JW48" s="157"/>
      <c r="JX48" s="157"/>
      <c r="JY48" s="157"/>
      <c r="JZ48" s="157"/>
      <c r="KA48" s="157"/>
      <c r="KB48" s="157"/>
      <c r="KC48" s="157"/>
      <c r="KD48" s="157"/>
      <c r="KE48" s="157"/>
      <c r="KF48" s="157"/>
      <c r="KG48" s="157"/>
      <c r="KH48" s="157"/>
      <c r="KI48" s="157"/>
      <c r="KJ48" s="157"/>
      <c r="KK48" s="157"/>
      <c r="KL48" s="157"/>
      <c r="KM48" s="157"/>
      <c r="KN48" s="157"/>
      <c r="KO48" s="157"/>
      <c r="KP48" s="157"/>
      <c r="KQ48" s="157"/>
      <c r="KR48" s="157"/>
      <c r="KS48" s="157"/>
      <c r="KT48" s="157"/>
      <c r="KU48" s="157"/>
      <c r="KV48" s="157"/>
      <c r="KW48" s="157"/>
      <c r="KX48" s="157"/>
      <c r="KY48" s="157"/>
      <c r="KZ48" s="157"/>
      <c r="LA48" s="157"/>
      <c r="LB48" s="157"/>
      <c r="LC48" s="157"/>
      <c r="LD48" s="157"/>
      <c r="LE48" s="157"/>
      <c r="LF48" s="157"/>
      <c r="LG48" s="157"/>
      <c r="LH48" s="157"/>
      <c r="LI48" s="157"/>
      <c r="LJ48" s="157"/>
      <c r="LK48" s="157"/>
      <c r="LL48" s="157"/>
      <c r="LM48" s="157"/>
      <c r="LN48" s="157"/>
      <c r="LO48" s="157"/>
      <c r="LP48" s="157"/>
      <c r="LQ48" s="157"/>
      <c r="LR48" s="157"/>
      <c r="LS48" s="157"/>
      <c r="LT48" s="157"/>
      <c r="LU48" s="157"/>
      <c r="LV48" s="157"/>
      <c r="LW48" s="157"/>
      <c r="LX48" s="157"/>
      <c r="LY48" s="157"/>
      <c r="LZ48" s="157"/>
      <c r="MA48" s="157"/>
      <c r="MB48" s="157"/>
      <c r="MC48" s="157"/>
      <c r="MD48" s="157"/>
      <c r="ME48" s="157"/>
      <c r="MF48" s="163" t="s">
        <v>85</v>
      </c>
      <c r="MG48" s="156">
        <v>1546279</v>
      </c>
      <c r="MH48" s="156">
        <v>507686</v>
      </c>
      <c r="MI48" s="156">
        <v>271310</v>
      </c>
      <c r="MJ48" s="180">
        <v>14002290</v>
      </c>
      <c r="MK48" s="157"/>
      <c r="ML48" s="156">
        <v>1440387</v>
      </c>
      <c r="MM48" s="156">
        <v>596593</v>
      </c>
      <c r="MN48" s="156">
        <v>368174</v>
      </c>
      <c r="MO48" s="180">
        <v>14002290</v>
      </c>
      <c r="MP48" s="157"/>
      <c r="MQ48" s="156">
        <v>1469113</v>
      </c>
      <c r="MR48" s="156">
        <v>577973</v>
      </c>
      <c r="MS48" s="156">
        <v>354207</v>
      </c>
      <c r="MT48" s="180">
        <v>14002290</v>
      </c>
      <c r="MU48" s="157"/>
      <c r="MV48" s="157"/>
      <c r="MW48" s="157"/>
      <c r="MX48" s="157"/>
      <c r="MY48" s="157"/>
      <c r="MZ48" s="157"/>
      <c r="NA48" s="157"/>
      <c r="NB48" s="157"/>
      <c r="NC48" s="157"/>
      <c r="ND48" s="157"/>
      <c r="NE48" s="157"/>
      <c r="NF48" s="157"/>
      <c r="NG48" s="157"/>
      <c r="NH48" s="157"/>
      <c r="NI48" s="157"/>
      <c r="NJ48" s="157"/>
      <c r="NK48" s="157"/>
      <c r="NL48" s="157"/>
      <c r="NM48" s="157"/>
      <c r="NN48" s="157"/>
      <c r="NO48" s="157"/>
      <c r="NP48" s="157"/>
      <c r="NQ48" s="157"/>
      <c r="NR48" s="157"/>
      <c r="NS48" s="157"/>
      <c r="NT48" s="157"/>
      <c r="NU48" s="157"/>
      <c r="NV48" s="157"/>
      <c r="NW48" s="157"/>
      <c r="NX48" s="157"/>
      <c r="NY48" s="157"/>
      <c r="NZ48" s="157"/>
      <c r="OA48" s="157"/>
      <c r="OB48" s="157"/>
      <c r="OC48" s="157"/>
      <c r="OD48" s="157"/>
      <c r="OE48" s="157"/>
      <c r="OF48" s="157"/>
      <c r="OG48" s="157"/>
      <c r="OH48" s="157"/>
      <c r="OI48" s="157"/>
      <c r="OJ48" s="157"/>
      <c r="OK48" s="157"/>
      <c r="OL48" s="157"/>
    </row>
    <row r="49" spans="239:402">
      <c r="IE49" s="157"/>
      <c r="IF49" s="157"/>
      <c r="IG49" s="157"/>
      <c r="IH49" s="157"/>
      <c r="IJ49" s="157"/>
      <c r="IK49" s="157"/>
      <c r="IL49" s="157"/>
      <c r="IM49" s="157"/>
      <c r="IN49" s="157"/>
      <c r="IO49" s="157"/>
      <c r="IP49" s="157"/>
      <c r="IQ49" s="157"/>
      <c r="IR49" s="157"/>
      <c r="IS49" s="157"/>
      <c r="IT49" s="157"/>
      <c r="IU49" s="157"/>
      <c r="IV49" s="157"/>
      <c r="IW49" s="157"/>
      <c r="IX49" s="157"/>
      <c r="IY49" s="157"/>
      <c r="IZ49" s="157"/>
      <c r="JA49" s="157"/>
      <c r="JB49" s="157"/>
      <c r="JC49" s="157"/>
      <c r="JD49" s="157"/>
      <c r="JE49" s="157"/>
      <c r="JF49" s="157"/>
      <c r="JG49" s="157"/>
      <c r="JH49" s="157"/>
      <c r="JI49" s="157"/>
      <c r="JJ49" s="157"/>
      <c r="JK49" s="157"/>
      <c r="JL49" s="157"/>
      <c r="JM49" s="157"/>
      <c r="JN49" s="157"/>
      <c r="JO49" s="157"/>
      <c r="JP49" s="157"/>
      <c r="JQ49" s="157"/>
      <c r="JR49" s="157"/>
      <c r="JS49" s="157"/>
      <c r="JT49" s="157"/>
      <c r="JU49" s="157"/>
      <c r="JV49" s="157"/>
      <c r="JW49" s="157"/>
      <c r="JX49" s="157"/>
      <c r="JY49" s="157"/>
      <c r="JZ49" s="157"/>
      <c r="KA49" s="157"/>
      <c r="KB49" s="157"/>
      <c r="KC49" s="157"/>
      <c r="KD49" s="157"/>
      <c r="KE49" s="157"/>
      <c r="KF49" s="157"/>
      <c r="KG49" s="157"/>
      <c r="KH49" s="157"/>
      <c r="KI49" s="157"/>
      <c r="KJ49" s="157"/>
      <c r="KK49" s="157"/>
      <c r="KL49" s="157"/>
      <c r="KM49" s="157"/>
      <c r="KN49" s="157"/>
      <c r="KO49" s="157"/>
      <c r="KP49" s="157"/>
      <c r="KQ49" s="157"/>
      <c r="KR49" s="157"/>
      <c r="KS49" s="157"/>
      <c r="KT49" s="157"/>
      <c r="KU49" s="157"/>
      <c r="KV49" s="157"/>
      <c r="KW49" s="157"/>
      <c r="KX49" s="157"/>
      <c r="KY49" s="157"/>
      <c r="KZ49" s="157"/>
      <c r="LA49" s="157"/>
      <c r="LB49" s="157"/>
      <c r="LC49" s="157"/>
      <c r="LD49" s="157"/>
      <c r="LE49" s="157"/>
      <c r="LF49" s="157"/>
      <c r="LG49" s="157"/>
      <c r="LH49" s="157"/>
      <c r="LI49" s="157"/>
      <c r="LJ49" s="157"/>
      <c r="LK49" s="157"/>
      <c r="LL49" s="157"/>
      <c r="LM49" s="157"/>
      <c r="LN49" s="157"/>
      <c r="LO49" s="157"/>
      <c r="LP49" s="157"/>
      <c r="LQ49" s="157"/>
      <c r="LR49" s="157"/>
      <c r="LS49" s="157"/>
      <c r="LT49" s="157"/>
      <c r="LU49" s="157"/>
      <c r="LV49" s="157"/>
      <c r="LW49" s="157"/>
      <c r="LX49" s="157"/>
      <c r="LY49" s="157"/>
      <c r="LZ49" s="157"/>
      <c r="MA49" s="157"/>
      <c r="MB49" s="157"/>
      <c r="MC49" s="157"/>
      <c r="MD49" s="157"/>
      <c r="ME49" s="157"/>
      <c r="MF49" s="163" t="s">
        <v>86</v>
      </c>
      <c r="MG49" s="156">
        <v>4716134</v>
      </c>
      <c r="MH49" s="156">
        <v>152054</v>
      </c>
      <c r="MI49" s="156">
        <v>143572</v>
      </c>
      <c r="MJ49" s="180">
        <v>3111539</v>
      </c>
      <c r="MK49" s="157"/>
      <c r="ML49" s="156">
        <v>4307905</v>
      </c>
      <c r="MM49" s="156">
        <v>151423</v>
      </c>
      <c r="MN49" s="156">
        <v>142487</v>
      </c>
      <c r="MO49" s="180">
        <v>3111539</v>
      </c>
      <c r="MP49" s="157"/>
      <c r="MQ49" s="156">
        <v>4202695</v>
      </c>
      <c r="MR49" s="156">
        <v>247856</v>
      </c>
      <c r="MS49" s="156">
        <v>239409</v>
      </c>
      <c r="MT49" s="180">
        <v>3111539</v>
      </c>
      <c r="MU49" s="157"/>
      <c r="MV49" s="157"/>
      <c r="MW49" s="157"/>
      <c r="MX49" s="157"/>
      <c r="MY49" s="157"/>
      <c r="MZ49" s="157"/>
      <c r="NA49" s="157"/>
      <c r="NB49" s="157"/>
      <c r="NC49" s="157"/>
      <c r="ND49" s="157"/>
      <c r="NE49" s="157"/>
      <c r="NF49" s="157"/>
      <c r="NG49" s="157"/>
      <c r="NH49" s="157"/>
      <c r="NI49" s="157"/>
      <c r="NJ49" s="157"/>
      <c r="NK49" s="157"/>
      <c r="NL49" s="157"/>
      <c r="NM49" s="157"/>
      <c r="NN49" s="157"/>
      <c r="NO49" s="157"/>
      <c r="NP49" s="157"/>
      <c r="NQ49" s="157"/>
      <c r="NR49" s="157"/>
      <c r="NS49" s="157"/>
      <c r="NT49" s="157"/>
      <c r="NU49" s="157"/>
      <c r="NV49" s="157"/>
      <c r="NW49" s="157"/>
      <c r="NX49" s="157"/>
      <c r="NY49" s="157"/>
      <c r="NZ49" s="157"/>
      <c r="OA49" s="157"/>
      <c r="OB49" s="157"/>
      <c r="OC49" s="157"/>
      <c r="OD49" s="157"/>
      <c r="OE49" s="157"/>
      <c r="OF49" s="157"/>
      <c r="OG49" s="157"/>
      <c r="OH49" s="157"/>
      <c r="OI49" s="157"/>
      <c r="OJ49" s="157"/>
      <c r="OK49" s="157"/>
      <c r="OL49" s="157"/>
    </row>
    <row r="50" spans="239:402">
      <c r="IE50" s="157"/>
      <c r="IF50" s="157"/>
      <c r="IG50" s="157"/>
      <c r="IH50" s="157"/>
      <c r="IJ50" s="157"/>
      <c r="IK50" s="157"/>
      <c r="IL50" s="157"/>
      <c r="IM50" s="157"/>
      <c r="IN50" s="157"/>
      <c r="IO50" s="157"/>
      <c r="IP50" s="157"/>
      <c r="IQ50" s="157"/>
      <c r="IR50" s="157"/>
      <c r="IS50" s="157"/>
      <c r="IT50" s="157"/>
      <c r="IU50" s="157"/>
      <c r="IV50" s="157"/>
      <c r="IW50" s="157"/>
      <c r="IX50" s="157"/>
      <c r="IY50" s="157"/>
      <c r="IZ50" s="157"/>
      <c r="JA50" s="157"/>
      <c r="JB50" s="157"/>
      <c r="JC50" s="157"/>
      <c r="JD50" s="157"/>
      <c r="JE50" s="157"/>
      <c r="JF50" s="157"/>
      <c r="JG50" s="157"/>
      <c r="JH50" s="157"/>
      <c r="JI50" s="157"/>
      <c r="JJ50" s="157"/>
      <c r="JK50" s="157"/>
      <c r="JL50" s="157"/>
      <c r="JM50" s="157"/>
      <c r="JN50" s="157"/>
      <c r="JO50" s="157"/>
      <c r="JP50" s="157"/>
      <c r="JQ50" s="157"/>
      <c r="JR50" s="157"/>
      <c r="JS50" s="157"/>
      <c r="JT50" s="157"/>
      <c r="JU50" s="157"/>
      <c r="JV50" s="157"/>
      <c r="JW50" s="157"/>
      <c r="JX50" s="157"/>
      <c r="JY50" s="157"/>
      <c r="JZ50" s="157"/>
      <c r="KA50" s="157"/>
      <c r="KB50" s="157"/>
      <c r="KC50" s="157"/>
      <c r="KD50" s="157"/>
      <c r="KE50" s="157"/>
      <c r="KF50" s="157"/>
      <c r="KG50" s="157"/>
      <c r="KH50" s="157"/>
      <c r="KI50" s="157"/>
      <c r="KJ50" s="157"/>
      <c r="KK50" s="157"/>
      <c r="KL50" s="157"/>
      <c r="KM50" s="157"/>
      <c r="KN50" s="157"/>
      <c r="KO50" s="157"/>
      <c r="KP50" s="157"/>
      <c r="KQ50" s="157"/>
      <c r="KR50" s="157"/>
      <c r="KS50" s="157"/>
      <c r="KT50" s="157"/>
      <c r="KU50" s="157"/>
      <c r="KV50" s="157"/>
      <c r="KW50" s="157"/>
      <c r="KX50" s="157"/>
      <c r="KY50" s="157"/>
      <c r="KZ50" s="157"/>
      <c r="LA50" s="157"/>
      <c r="LB50" s="157"/>
      <c r="LC50" s="157"/>
      <c r="LD50" s="157"/>
      <c r="LE50" s="157"/>
      <c r="LF50" s="157"/>
      <c r="LG50" s="157"/>
      <c r="LH50" s="157"/>
      <c r="LI50" s="157"/>
      <c r="LJ50" s="157"/>
      <c r="LK50" s="157"/>
      <c r="LL50" s="157"/>
      <c r="LM50" s="157"/>
      <c r="LN50" s="157"/>
      <c r="LO50" s="157"/>
      <c r="LP50" s="157"/>
      <c r="LQ50" s="157"/>
      <c r="LR50" s="157"/>
      <c r="LS50" s="157"/>
      <c r="LT50" s="157"/>
      <c r="LU50" s="157"/>
      <c r="LV50" s="157"/>
      <c r="LW50" s="157"/>
      <c r="LX50" s="157"/>
      <c r="LY50" s="157"/>
      <c r="LZ50" s="157"/>
      <c r="MA50" s="157"/>
      <c r="MB50" s="157"/>
      <c r="MC50" s="157"/>
      <c r="MD50" s="157"/>
      <c r="ME50" s="157"/>
      <c r="MF50" s="163" t="s">
        <v>87</v>
      </c>
      <c r="MG50" s="156">
        <v>117604</v>
      </c>
      <c r="MH50" s="156">
        <v>-26269</v>
      </c>
      <c r="MI50" s="156">
        <v>-32841</v>
      </c>
      <c r="MJ50" s="156">
        <v>183519</v>
      </c>
      <c r="MK50" s="157"/>
      <c r="ML50" s="156">
        <v>139772</v>
      </c>
      <c r="MM50" s="156">
        <v>37893</v>
      </c>
      <c r="MN50" s="156">
        <v>32774</v>
      </c>
      <c r="MO50" s="156">
        <v>183519</v>
      </c>
      <c r="MP50" s="157"/>
      <c r="MQ50" s="156">
        <v>131113</v>
      </c>
      <c r="MR50" s="156">
        <v>21556</v>
      </c>
      <c r="MS50" s="156">
        <v>17918</v>
      </c>
      <c r="MT50" s="156">
        <v>183519</v>
      </c>
      <c r="MU50" s="157"/>
      <c r="MV50" s="157"/>
      <c r="MW50" s="157"/>
      <c r="MX50" s="157"/>
      <c r="MY50" s="157"/>
      <c r="MZ50" s="157"/>
      <c r="NA50" s="157"/>
      <c r="NB50" s="157"/>
      <c r="NC50" s="157"/>
      <c r="ND50" s="157"/>
      <c r="NE50" s="157"/>
      <c r="NF50" s="157"/>
      <c r="NG50" s="157"/>
      <c r="NH50" s="157"/>
      <c r="NI50" s="157"/>
      <c r="NJ50" s="157"/>
      <c r="NK50" s="157"/>
      <c r="NL50" s="157"/>
      <c r="NM50" s="157"/>
      <c r="NN50" s="157"/>
      <c r="NO50" s="157"/>
      <c r="NP50" s="157"/>
      <c r="NQ50" s="157"/>
      <c r="NR50" s="157"/>
      <c r="NS50" s="157"/>
      <c r="NT50" s="157"/>
      <c r="NU50" s="157"/>
      <c r="NV50" s="157"/>
      <c r="NW50" s="157"/>
      <c r="NX50" s="157"/>
      <c r="NY50" s="157"/>
      <c r="NZ50" s="157"/>
      <c r="OA50" s="157"/>
      <c r="OB50" s="157"/>
      <c r="OC50" s="157"/>
      <c r="OD50" s="157"/>
      <c r="OE50" s="157"/>
      <c r="OF50" s="157"/>
      <c r="OG50" s="157"/>
      <c r="OH50" s="157"/>
      <c r="OI50" s="157"/>
      <c r="OJ50" s="157"/>
      <c r="OK50" s="157"/>
      <c r="OL50" s="157"/>
    </row>
    <row r="51" spans="239:402">
      <c r="IE51" s="157"/>
      <c r="IF51" s="157"/>
      <c r="IG51" s="157"/>
      <c r="IH51" s="157"/>
      <c r="IJ51" s="157"/>
      <c r="IK51" s="157"/>
      <c r="IL51" s="157"/>
      <c r="IM51" s="157"/>
      <c r="IN51" s="157"/>
      <c r="IO51" s="157"/>
      <c r="IP51" s="157"/>
      <c r="IQ51" s="157"/>
      <c r="IR51" s="157"/>
      <c r="IS51" s="157"/>
      <c r="IT51" s="157"/>
      <c r="IU51" s="157"/>
      <c r="IV51" s="157"/>
      <c r="IW51" s="157"/>
      <c r="IX51" s="157"/>
      <c r="IY51" s="157"/>
      <c r="IZ51" s="157"/>
      <c r="JA51" s="157"/>
      <c r="JB51" s="157"/>
      <c r="JC51" s="157"/>
      <c r="JD51" s="157"/>
      <c r="JE51" s="157"/>
      <c r="JF51" s="157"/>
      <c r="JG51" s="157"/>
      <c r="JH51" s="157"/>
      <c r="JI51" s="157"/>
      <c r="JJ51" s="157"/>
      <c r="JK51" s="157"/>
      <c r="JL51" s="157"/>
      <c r="JM51" s="157"/>
      <c r="JN51" s="157"/>
      <c r="JO51" s="157"/>
      <c r="JP51" s="157"/>
      <c r="JQ51" s="157"/>
      <c r="JR51" s="157"/>
      <c r="JS51" s="157"/>
      <c r="JT51" s="157"/>
      <c r="JU51" s="157"/>
      <c r="JV51" s="157"/>
      <c r="JW51" s="157"/>
      <c r="JX51" s="157"/>
      <c r="JY51" s="157"/>
      <c r="JZ51" s="157"/>
      <c r="KA51" s="157"/>
      <c r="KB51" s="157"/>
      <c r="KC51" s="157"/>
      <c r="KD51" s="157"/>
      <c r="KE51" s="157"/>
      <c r="KF51" s="157"/>
      <c r="KG51" s="157"/>
      <c r="KH51" s="157"/>
      <c r="KI51" s="157"/>
      <c r="KJ51" s="157"/>
      <c r="KK51" s="157"/>
      <c r="KL51" s="157"/>
      <c r="KM51" s="157"/>
      <c r="KN51" s="157"/>
      <c r="KO51" s="157"/>
      <c r="KP51" s="157"/>
      <c r="KQ51" s="157"/>
      <c r="KR51" s="157"/>
      <c r="KS51" s="157"/>
      <c r="KT51" s="157"/>
      <c r="KU51" s="157"/>
      <c r="KV51" s="157"/>
      <c r="KW51" s="157"/>
      <c r="KX51" s="157"/>
      <c r="KY51" s="157"/>
      <c r="KZ51" s="157"/>
      <c r="LA51" s="157"/>
      <c r="LB51" s="157"/>
      <c r="LC51" s="157"/>
      <c r="LD51" s="157"/>
      <c r="LE51" s="157"/>
      <c r="LF51" s="157"/>
      <c r="LG51" s="157"/>
      <c r="LH51" s="157"/>
      <c r="LI51" s="157"/>
      <c r="LJ51" s="157"/>
      <c r="LK51" s="157"/>
      <c r="LL51" s="157"/>
      <c r="LM51" s="157"/>
      <c r="LN51" s="157"/>
      <c r="LO51" s="157"/>
      <c r="LP51" s="157"/>
      <c r="LQ51" s="157"/>
      <c r="LR51" s="157"/>
      <c r="LS51" s="157"/>
      <c r="LT51" s="157"/>
      <c r="LU51" s="157"/>
      <c r="LV51" s="157"/>
      <c r="LW51" s="157"/>
      <c r="LX51" s="157"/>
      <c r="LY51" s="157"/>
      <c r="LZ51" s="157"/>
      <c r="MA51" s="157"/>
      <c r="MB51" s="157"/>
      <c r="MC51" s="157"/>
      <c r="MD51" s="157"/>
      <c r="ME51" s="157"/>
      <c r="MF51" s="173" t="s">
        <v>80</v>
      </c>
      <c r="MG51" s="170">
        <v>77093</v>
      </c>
      <c r="MH51" s="170">
        <v>3386</v>
      </c>
      <c r="MI51" s="170">
        <v>3330</v>
      </c>
      <c r="MJ51" s="170">
        <v>170774</v>
      </c>
      <c r="MK51" s="157"/>
      <c r="ML51" s="170">
        <v>67137</v>
      </c>
      <c r="MM51" s="170">
        <v>7908</v>
      </c>
      <c r="MN51" s="170">
        <v>5723</v>
      </c>
      <c r="MO51" s="170">
        <v>170774</v>
      </c>
      <c r="MP51" s="157"/>
      <c r="MQ51" s="170">
        <v>62475</v>
      </c>
      <c r="MR51" s="170">
        <v>3861</v>
      </c>
      <c r="MS51" s="170">
        <v>1662</v>
      </c>
      <c r="MT51" s="170">
        <v>170774</v>
      </c>
      <c r="MU51" s="157"/>
      <c r="MV51" s="157"/>
      <c r="MW51" s="157"/>
      <c r="MX51" s="157"/>
      <c r="MY51" s="157"/>
      <c r="MZ51" s="157"/>
      <c r="NA51" s="157"/>
      <c r="NB51" s="157"/>
      <c r="NC51" s="157"/>
      <c r="ND51" s="157"/>
      <c r="NE51" s="157"/>
      <c r="NF51" s="157"/>
      <c r="NG51" s="157"/>
      <c r="NH51" s="157"/>
      <c r="NI51" s="157"/>
      <c r="NJ51" s="157"/>
      <c r="NK51" s="157"/>
      <c r="NL51" s="157"/>
      <c r="NM51" s="157"/>
      <c r="NN51" s="157"/>
      <c r="NO51" s="157"/>
      <c r="NP51" s="157"/>
      <c r="NQ51" s="157"/>
      <c r="NR51" s="157"/>
      <c r="NS51" s="157"/>
      <c r="NT51" s="157"/>
      <c r="NU51" s="157"/>
      <c r="NV51" s="157"/>
      <c r="NW51" s="157"/>
      <c r="NX51" s="157"/>
      <c r="NY51" s="157"/>
      <c r="NZ51" s="157"/>
      <c r="OA51" s="157"/>
      <c r="OB51" s="157"/>
      <c r="OC51" s="157"/>
      <c r="OD51" s="157"/>
      <c r="OE51" s="157"/>
      <c r="OF51" s="157"/>
      <c r="OG51" s="157"/>
      <c r="OH51" s="157"/>
      <c r="OI51" s="157"/>
      <c r="OJ51" s="157"/>
      <c r="OK51" s="157"/>
      <c r="OL51" s="157"/>
    </row>
  </sheetData>
  <customSheetViews>
    <customSheetView guid="{786DE933-524F-40D1-8033-C008687087FC}">
      <selection activeCell="F17" sqref="F17"/>
      <pageMargins left="0.7" right="0.7" top="0.75" bottom="0.75" header="0.3" footer="0.3"/>
    </customSheetView>
    <customSheetView guid="{627AEB6E-B9F1-415E-9A60-881757A50C67}">
      <selection activeCell="C19" sqref="C19"/>
      <pageMargins left="0.7" right="0.7" top="0.75" bottom="0.75" header="0.3" footer="0.3"/>
    </customSheetView>
    <customSheetView guid="{874BA5F8-BD95-4DDF-8F31-98DB154CA965}">
      <selection activeCell="A2" sqref="A2"/>
      <pageMargins left="0.7" right="0.7" top="0.75" bottom="0.75" header="0.3" footer="0.3"/>
    </customSheetView>
    <customSheetView guid="{AAA495E0-27FD-4941-85B8-9038B6AD4FA3}">
      <selection activeCell="A2" sqref="A2"/>
      <pageMargins left="0.7" right="0.7" top="0.75" bottom="0.75" header="0.3" footer="0.3"/>
    </customSheetView>
    <customSheetView guid="{77EFF5B1-32BE-4080-9902-B97F43099026}">
      <selection activeCell="F17" sqref="F17"/>
      <pageMargins left="0.7" right="0.7" top="0.75" bottom="0.75" header="0.3" footer="0.3"/>
    </customSheetView>
  </customSheetViews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4">
    <pageSetUpPr fitToPage="1"/>
  </sheetPr>
  <dimension ref="A1:KL32"/>
  <sheetViews>
    <sheetView tabSelected="1" workbookViewId="0">
      <selection activeCell="H21" sqref="H21"/>
    </sheetView>
  </sheetViews>
  <sheetFormatPr defaultColWidth="9.28515625" defaultRowHeight="15"/>
  <cols>
    <col min="1" max="1" width="39.28515625" style="10" customWidth="1"/>
    <col min="2" max="2" width="3.7109375" style="10" customWidth="1"/>
    <col min="3" max="3" width="16.7109375" style="324" customWidth="1"/>
    <col min="4" max="4" width="16.7109375" style="157" customWidth="1"/>
    <col min="5" max="5" width="3.7109375" style="10" customWidth="1"/>
    <col min="6" max="6" width="16.7109375" style="324" customWidth="1"/>
    <col min="7" max="7" width="16.7109375" style="157" customWidth="1"/>
    <col min="8" max="8" width="3.7109375" style="10" customWidth="1"/>
    <col min="9" max="9" width="16.7109375" style="324" customWidth="1"/>
    <col min="10" max="10" width="16.7109375" style="157" customWidth="1"/>
    <col min="11" max="11" width="3.7109375" style="10" customWidth="1"/>
    <col min="12" max="12" width="16.7109375" style="324" customWidth="1"/>
    <col min="13" max="13" width="16.7109375" style="157" customWidth="1"/>
    <col min="14" max="14" width="3.7109375" style="10" customWidth="1"/>
    <col min="15" max="15" width="16.7109375" style="324" customWidth="1"/>
    <col min="16" max="16" width="16.7109375" style="157" customWidth="1"/>
    <col min="17" max="17" width="3.7109375" style="10" customWidth="1"/>
    <col min="18" max="18" width="16.7109375" style="324" customWidth="1"/>
    <col min="19" max="19" width="16.7109375" style="157" customWidth="1"/>
    <col min="20" max="20" width="3.7109375" style="10" customWidth="1"/>
    <col min="21" max="21" width="16.7109375" style="324" customWidth="1"/>
    <col min="22" max="22" width="16.7109375" style="157" customWidth="1"/>
    <col min="23" max="23" width="3.7109375" style="10" customWidth="1"/>
    <col min="24" max="24" width="16.7109375" style="324" customWidth="1"/>
    <col min="25" max="25" width="16.7109375" style="157" customWidth="1"/>
    <col min="26" max="26" width="3.7109375" style="10" customWidth="1"/>
    <col min="27" max="27" width="16.7109375" style="324" customWidth="1"/>
    <col min="28" max="28" width="16.7109375" style="157" customWidth="1"/>
    <col min="29" max="29" width="3.7109375" style="10" customWidth="1"/>
    <col min="30" max="30" width="16.7109375" style="324" customWidth="1"/>
    <col min="31" max="31" width="16.7109375" style="157" customWidth="1"/>
    <col min="32" max="32" width="3.7109375" style="10" customWidth="1"/>
    <col min="33" max="33" width="16.7109375" style="324" customWidth="1"/>
    <col min="34" max="34" width="16.7109375" style="157" customWidth="1"/>
    <col min="35" max="35" width="3.7109375" style="10" customWidth="1"/>
    <col min="36" max="36" width="16.7109375" style="324" customWidth="1"/>
    <col min="37" max="37" width="16.7109375" style="157" customWidth="1"/>
    <col min="38" max="38" width="3.7109375" style="10" customWidth="1"/>
    <col min="39" max="39" width="16.7109375" style="324" customWidth="1"/>
    <col min="40" max="40" width="16.7109375" style="157" customWidth="1"/>
    <col min="41" max="41" width="3.7109375" style="10" customWidth="1"/>
    <col min="42" max="42" width="16.7109375" style="324" customWidth="1"/>
    <col min="43" max="43" width="16.7109375" style="157" customWidth="1"/>
    <col min="44" max="44" width="3.7109375" style="10" customWidth="1"/>
    <col min="45" max="45" width="16.7109375" style="324" customWidth="1"/>
    <col min="46" max="46" width="16.7109375" style="157" customWidth="1"/>
    <col min="47" max="47" width="3.7109375" style="10" customWidth="1"/>
    <col min="48" max="48" width="16.7109375" style="324" customWidth="1"/>
    <col min="49" max="49" width="16.7109375" style="157" customWidth="1"/>
    <col min="50" max="50" width="3.7109375" style="10" customWidth="1"/>
    <col min="51" max="51" width="16.7109375" style="324" customWidth="1"/>
    <col min="52" max="52" width="16.7109375" style="157" customWidth="1"/>
    <col min="53" max="53" width="3.7109375" style="10" customWidth="1"/>
    <col min="54" max="54" width="16.7109375" style="324" customWidth="1"/>
    <col min="55" max="55" width="16.7109375" style="157" customWidth="1"/>
    <col min="56" max="56" width="6.28515625" style="157" customWidth="1"/>
    <col min="57" max="57" width="16.7109375" style="324" customWidth="1"/>
    <col min="58" max="58" width="16.7109375" style="157" customWidth="1"/>
    <col min="59" max="59" width="6.28515625" style="157" customWidth="1"/>
    <col min="60" max="60" width="16.7109375" style="324" customWidth="1"/>
    <col min="61" max="61" width="16.7109375" style="157" customWidth="1"/>
    <col min="62" max="62" width="6.28515625" style="157" customWidth="1"/>
    <col min="63" max="63" width="16.7109375" style="324" customWidth="1"/>
    <col min="64" max="64" width="16.7109375" style="157" customWidth="1"/>
    <col min="65" max="65" width="6.28515625" style="157" customWidth="1"/>
    <col min="66" max="66" width="16.7109375" style="324" customWidth="1"/>
    <col min="67" max="67" width="16.7109375" style="157" customWidth="1"/>
    <col min="68" max="68" width="6.28515625" style="157" customWidth="1"/>
    <col min="69" max="69" width="16.7109375" style="324" customWidth="1"/>
    <col min="70" max="70" width="16.7109375" style="157" customWidth="1"/>
    <col min="71" max="71" width="6.28515625" style="157" customWidth="1"/>
    <col min="72" max="72" width="16.7109375" style="324" customWidth="1"/>
    <col min="73" max="73" width="16.7109375" style="157" customWidth="1"/>
    <col min="74" max="74" width="6.28515625" style="157" customWidth="1"/>
    <col min="75" max="75" width="16.7109375" style="324" customWidth="1"/>
    <col min="76" max="76" width="16.7109375" style="157" customWidth="1"/>
    <col min="77" max="77" width="6.28515625" style="157" customWidth="1"/>
    <col min="78" max="78" width="16.7109375" style="324" customWidth="1"/>
    <col min="79" max="79" width="16.7109375" style="157" customWidth="1"/>
    <col min="80" max="80" width="6.28515625" style="157" customWidth="1"/>
    <col min="81" max="81" width="16.7109375" style="324" customWidth="1"/>
    <col min="82" max="82" width="16.7109375" style="157" customWidth="1"/>
    <col min="83" max="83" width="6.28515625" style="157" customWidth="1"/>
    <col min="84" max="84" width="16.7109375" style="324" customWidth="1"/>
    <col min="85" max="85" width="16.7109375" style="157" customWidth="1"/>
    <col min="86" max="86" width="6.28515625" style="157" customWidth="1"/>
    <col min="87" max="87" width="16.7109375" style="324" customWidth="1"/>
    <col min="88" max="88" width="16.7109375" style="157" customWidth="1"/>
    <col min="89" max="89" width="6.28515625" style="157" customWidth="1"/>
    <col min="90" max="90" width="16.7109375" style="324" customWidth="1"/>
    <col min="91" max="91" width="16.7109375" style="157" customWidth="1"/>
    <col min="92" max="92" width="6.28515625" style="157" customWidth="1"/>
    <col min="93" max="93" width="16.7109375" style="324" customWidth="1"/>
    <col min="94" max="94" width="16.7109375" style="157" customWidth="1"/>
    <col min="95" max="95" width="6.28515625" style="157" customWidth="1"/>
    <col min="96" max="96" width="16.7109375" style="324" customWidth="1"/>
    <col min="97" max="97" width="16.7109375" style="157" customWidth="1"/>
    <col min="98" max="98" width="6.28515625" style="157" customWidth="1"/>
    <col min="99" max="99" width="16.7109375" style="324" customWidth="1"/>
    <col min="100" max="100" width="16.7109375" style="157" customWidth="1"/>
    <col min="101" max="101" width="3.7109375" style="10" customWidth="1"/>
    <col min="102" max="102" width="16.7109375" style="324" customWidth="1"/>
    <col min="103" max="103" width="16.7109375" style="157" customWidth="1"/>
    <col min="104" max="104" width="3.7109375" style="10" customWidth="1"/>
    <col min="105" max="105" width="16.7109375" style="324" customWidth="1"/>
    <col min="106" max="106" width="16.7109375" style="157" customWidth="1"/>
    <col min="107" max="107" width="3.7109375" style="10" customWidth="1"/>
    <col min="108" max="108" width="16.7109375" style="324" customWidth="1"/>
    <col min="109" max="109" width="16.7109375" style="157" customWidth="1"/>
    <col min="110" max="111" width="3.7109375" style="10" customWidth="1"/>
    <col min="112" max="112" width="16.7109375" style="324" customWidth="1"/>
    <col min="113" max="113" width="16.7109375" style="157" customWidth="1"/>
    <col min="114" max="114" width="3.7109375" style="10" customWidth="1"/>
    <col min="115" max="115" width="16.7109375" style="324" customWidth="1"/>
    <col min="116" max="116" width="16.7109375" style="157" customWidth="1"/>
    <col min="117" max="117" width="3.7109375" style="10" customWidth="1"/>
    <col min="118" max="118" width="16.7109375" style="324" customWidth="1"/>
    <col min="119" max="119" width="16.7109375" style="157" customWidth="1"/>
    <col min="120" max="120" width="6.28515625" style="157" customWidth="1"/>
    <col min="121" max="121" width="16.7109375" style="368" customWidth="1"/>
    <col min="122" max="122" width="16.7109375" style="339" customWidth="1"/>
    <col min="123" max="123" width="3.5703125" style="339" customWidth="1"/>
    <col min="124" max="124" width="16.7109375" style="368" customWidth="1"/>
    <col min="125" max="125" width="16.7109375" style="339" customWidth="1"/>
    <col min="126" max="126" width="7.5703125" style="339" customWidth="1"/>
    <col min="127" max="127" width="16.7109375" style="368" customWidth="1"/>
    <col min="128" max="128" width="16.7109375" style="339" customWidth="1"/>
    <col min="129" max="129" width="3.5703125" style="339" customWidth="1"/>
    <col min="130" max="130" width="16.7109375" style="368" customWidth="1"/>
    <col min="131" max="131" width="16.7109375" style="339" customWidth="1"/>
    <col min="132" max="132" width="7.5703125" style="339" customWidth="1"/>
    <col min="133" max="133" width="16.7109375" style="172" customWidth="1"/>
    <col min="134" max="134" width="16.7109375" style="157" customWidth="1"/>
    <col min="135" max="135" width="3.7109375" style="157" customWidth="1"/>
    <col min="136" max="136" width="16.7109375" style="172" customWidth="1"/>
    <col min="137" max="137" width="16.7109375" style="157" customWidth="1"/>
    <col min="138" max="138" width="7.5703125" style="157" customWidth="1"/>
    <col min="139" max="139" width="16.7109375" style="172" customWidth="1"/>
    <col min="140" max="140" width="16.7109375" style="157" customWidth="1"/>
    <col min="141" max="141" width="6.28515625" style="157" customWidth="1"/>
    <col min="142" max="142" width="16.7109375" style="70" customWidth="1"/>
    <col min="143" max="143" width="16.7109375" style="10" customWidth="1"/>
    <col min="144" max="144" width="4" style="10" customWidth="1"/>
    <col min="145" max="145" width="16.7109375" style="70" customWidth="1"/>
    <col min="146" max="146" width="16.7109375" style="10" customWidth="1"/>
    <col min="147" max="147" width="3" style="10" customWidth="1"/>
    <col min="148" max="148" width="16" style="70" customWidth="1"/>
    <col min="149" max="149" width="16" style="10" customWidth="1"/>
    <col min="150" max="150" width="3.7109375" style="10" customWidth="1"/>
    <col min="151" max="151" width="14.7109375" style="70" customWidth="1"/>
    <col min="152" max="152" width="14.7109375" style="10" customWidth="1"/>
    <col min="153" max="153" width="3.7109375" style="10" customWidth="1"/>
    <col min="154" max="154" width="16.5703125" style="70" customWidth="1"/>
    <col min="155" max="155" width="16.5703125" style="10" customWidth="1"/>
    <col min="156" max="156" width="4" style="10" customWidth="1"/>
    <col min="157" max="157" width="14.7109375" style="70" customWidth="1"/>
    <col min="158" max="158" width="14.7109375" style="10" customWidth="1"/>
    <col min="159" max="159" width="4.28515625" style="10" customWidth="1"/>
    <col min="160" max="160" width="14.7109375" style="70" customWidth="1"/>
    <col min="161" max="161" width="14.7109375" style="10" customWidth="1"/>
    <col min="162" max="162" width="3.7109375" style="10" customWidth="1"/>
    <col min="163" max="163" width="15" style="70" customWidth="1"/>
    <col min="164" max="164" width="15" style="10" customWidth="1"/>
    <col min="165" max="165" width="3.28515625" style="10" customWidth="1"/>
    <col min="166" max="167" width="14.7109375" style="10" customWidth="1"/>
    <col min="168" max="168" width="4.7109375" style="10" customWidth="1"/>
    <col min="169" max="169" width="16.28515625" style="70" customWidth="1"/>
    <col min="170" max="170" width="16.28515625" style="10" customWidth="1"/>
    <col min="171" max="171" width="3.7109375" style="10" customWidth="1"/>
    <col min="172" max="173" width="15" style="10" customWidth="1"/>
    <col min="174" max="174" width="5.7109375" style="10" customWidth="1"/>
    <col min="175" max="175" width="14" style="70" customWidth="1"/>
    <col min="176" max="176" width="14" style="10" customWidth="1"/>
    <col min="177" max="177" width="3.7109375" style="10" customWidth="1"/>
    <col min="178" max="179" width="15" style="10" customWidth="1"/>
    <col min="180" max="180" width="5.7109375" style="10" customWidth="1"/>
    <col min="181" max="181" width="14.7109375" style="70" customWidth="1"/>
    <col min="182" max="182" width="14.7109375" style="10" customWidth="1"/>
    <col min="183" max="183" width="3.7109375" style="10" customWidth="1"/>
    <col min="184" max="185" width="11.28515625" style="10" customWidth="1"/>
    <col min="186" max="186" width="3.7109375" style="10" customWidth="1"/>
    <col min="187" max="187" width="14.28515625" style="10" customWidth="1"/>
    <col min="188" max="188" width="15.42578125" style="10" customWidth="1"/>
    <col min="189" max="189" width="3.7109375" style="10" customWidth="1"/>
    <col min="190" max="191" width="18.28515625" style="10" customWidth="1"/>
    <col min="192" max="192" width="3.7109375" style="10" customWidth="1"/>
    <col min="193" max="194" width="16" style="10" customWidth="1"/>
    <col min="195" max="195" width="3.7109375" style="10" customWidth="1"/>
    <col min="196" max="197" width="16.7109375" style="10" customWidth="1"/>
    <col min="198" max="198" width="3.7109375" style="10" customWidth="1"/>
    <col min="199" max="200" width="16.42578125" style="10" customWidth="1"/>
    <col min="201" max="201" width="3.7109375" style="10" customWidth="1"/>
    <col min="202" max="203" width="16.28515625" style="10" customWidth="1"/>
    <col min="204" max="204" width="3.7109375" style="10" customWidth="1"/>
    <col min="205" max="205" width="31.7109375" style="10" bestFit="1" customWidth="1"/>
    <col min="206" max="207" width="13" style="10" customWidth="1"/>
    <col min="208" max="208" width="3.7109375" style="10" customWidth="1"/>
    <col min="209" max="210" width="12.42578125" style="10" customWidth="1"/>
    <col min="211" max="211" width="3.7109375" style="10" customWidth="1"/>
    <col min="212" max="213" width="12.7109375" style="10" customWidth="1"/>
    <col min="214" max="214" width="3.7109375" style="10" customWidth="1"/>
    <col min="215" max="216" width="12.28515625" style="10" customWidth="1"/>
    <col min="217" max="16384" width="9.28515625" style="10"/>
  </cols>
  <sheetData>
    <row r="1" spans="1:298" ht="20.25">
      <c r="A1" s="1" t="s">
        <v>202</v>
      </c>
      <c r="B1" s="58"/>
      <c r="C1" s="659"/>
      <c r="D1" s="660"/>
      <c r="E1" s="661"/>
      <c r="F1" s="659"/>
      <c r="G1" s="660"/>
      <c r="H1" s="58"/>
      <c r="I1" s="659"/>
      <c r="J1" s="660"/>
      <c r="K1" s="661"/>
      <c r="L1" s="659"/>
      <c r="M1" s="660"/>
      <c r="N1" s="661"/>
      <c r="O1" s="659"/>
      <c r="P1" s="660"/>
      <c r="Q1" s="661"/>
      <c r="R1" s="659"/>
      <c r="S1" s="660"/>
      <c r="T1" s="661"/>
      <c r="U1" s="659"/>
      <c r="V1" s="660"/>
      <c r="W1" s="661"/>
      <c r="X1" s="617"/>
      <c r="Y1" s="618"/>
      <c r="Z1" s="607"/>
      <c r="AA1" s="617"/>
      <c r="AB1" s="618"/>
      <c r="AC1" s="607"/>
      <c r="AD1" s="617"/>
      <c r="AE1" s="618"/>
      <c r="AF1" s="607"/>
      <c r="AG1" s="617"/>
      <c r="AH1" s="618"/>
      <c r="AI1" s="607"/>
      <c r="AJ1" s="617"/>
      <c r="AK1" s="618"/>
      <c r="AL1" s="607"/>
      <c r="AM1" s="617"/>
      <c r="AN1" s="618"/>
      <c r="AO1" s="607"/>
      <c r="AP1" s="369"/>
      <c r="AQ1" s="155"/>
      <c r="AR1" s="58"/>
      <c r="AS1" s="369"/>
      <c r="AT1" s="155"/>
      <c r="AU1" s="58"/>
      <c r="AV1" s="369"/>
      <c r="AW1" s="155"/>
      <c r="AX1" s="58"/>
      <c r="AY1" s="369"/>
      <c r="AZ1" s="155"/>
      <c r="BA1" s="58"/>
      <c r="BB1" s="369"/>
      <c r="BC1" s="155"/>
      <c r="BD1" s="153"/>
      <c r="BE1" s="369"/>
      <c r="BF1" s="155"/>
      <c r="BG1" s="153"/>
      <c r="BH1" s="369"/>
      <c r="BI1" s="155"/>
      <c r="BJ1" s="153"/>
      <c r="BK1" s="369"/>
      <c r="BL1" s="155"/>
      <c r="BM1" s="153"/>
      <c r="BN1" s="369"/>
      <c r="BO1" s="155"/>
      <c r="BP1" s="153"/>
      <c r="BQ1" s="369"/>
      <c r="BR1" s="155"/>
      <c r="BS1" s="153"/>
      <c r="BT1" s="369"/>
      <c r="BU1" s="155"/>
      <c r="BV1" s="153"/>
      <c r="BW1" s="369"/>
      <c r="BX1" s="155"/>
      <c r="BY1" s="153"/>
      <c r="BZ1" s="369"/>
      <c r="CA1" s="155"/>
      <c r="CB1" s="153"/>
      <c r="CC1" s="369"/>
      <c r="CD1" s="155"/>
      <c r="CE1" s="153"/>
      <c r="CF1" s="369"/>
      <c r="CG1" s="155"/>
      <c r="CH1" s="153"/>
      <c r="CI1" s="369"/>
      <c r="CJ1" s="155"/>
      <c r="CK1" s="153"/>
      <c r="CL1" s="369"/>
      <c r="CM1" s="155"/>
      <c r="CN1" s="153"/>
      <c r="CO1" s="369"/>
      <c r="CP1" s="155"/>
      <c r="CQ1" s="153"/>
      <c r="CR1" s="369"/>
      <c r="CS1" s="155"/>
      <c r="CT1" s="153"/>
      <c r="CU1" s="369"/>
      <c r="CV1" s="155"/>
      <c r="CW1" s="58"/>
      <c r="CX1" s="369"/>
      <c r="CY1" s="155"/>
      <c r="CZ1" s="58"/>
      <c r="DA1" s="369"/>
      <c r="DB1" s="155"/>
      <c r="DC1" s="58"/>
      <c r="DD1" s="369"/>
      <c r="DE1" s="155"/>
      <c r="DF1" s="58"/>
      <c r="DG1" s="58"/>
      <c r="DH1" s="369"/>
      <c r="DI1" s="155"/>
      <c r="DJ1" s="58"/>
      <c r="DK1" s="369"/>
      <c r="DL1" s="155"/>
      <c r="DM1" s="58"/>
      <c r="DN1" s="369"/>
      <c r="DO1" s="155"/>
      <c r="DP1" s="153"/>
      <c r="DQ1" s="360"/>
      <c r="DR1" s="361"/>
      <c r="DS1" s="338"/>
      <c r="DT1" s="360"/>
      <c r="DU1" s="361"/>
      <c r="DV1" s="338"/>
      <c r="DW1" s="360"/>
      <c r="DX1" s="361"/>
      <c r="DY1" s="338"/>
      <c r="DZ1" s="360"/>
      <c r="EA1" s="361"/>
      <c r="EB1" s="338"/>
      <c r="EC1" s="322"/>
      <c r="ED1" s="155"/>
      <c r="EE1" s="153"/>
      <c r="EF1" s="322"/>
      <c r="EG1" s="155"/>
      <c r="EH1" s="153"/>
      <c r="EI1" s="322"/>
      <c r="EJ1" s="155"/>
      <c r="EK1" s="153"/>
      <c r="EL1" s="69"/>
      <c r="EM1" s="2"/>
      <c r="EN1" s="58"/>
      <c r="EO1" s="69"/>
      <c r="EP1" s="2"/>
      <c r="EQ1" s="58"/>
      <c r="ER1" s="69"/>
      <c r="ES1" s="2"/>
      <c r="ET1" s="58"/>
      <c r="EU1" s="69"/>
      <c r="EV1" s="2"/>
      <c r="EW1" s="58"/>
      <c r="EX1" s="69"/>
      <c r="EY1" s="2"/>
      <c r="EZ1" s="58"/>
      <c r="FA1" s="69"/>
      <c r="FB1" s="2"/>
      <c r="FC1" s="58"/>
      <c r="FD1" s="69"/>
      <c r="FE1" s="2"/>
      <c r="FF1" s="58"/>
      <c r="FG1" s="69"/>
      <c r="FH1" s="2"/>
      <c r="FI1" s="58"/>
      <c r="FJ1" s="2"/>
      <c r="FK1" s="2"/>
      <c r="FL1" s="58"/>
      <c r="FM1" s="69"/>
      <c r="FN1" s="2"/>
      <c r="FO1" s="58"/>
      <c r="FP1" s="2"/>
      <c r="FQ1" s="2"/>
      <c r="FR1" s="58"/>
      <c r="FS1" s="69"/>
      <c r="FT1" s="2"/>
      <c r="FU1" s="58"/>
      <c r="FV1" s="2"/>
      <c r="FW1" s="2"/>
      <c r="FX1" s="58"/>
      <c r="FY1" s="69"/>
      <c r="FZ1" s="2"/>
      <c r="GA1" s="58"/>
      <c r="GB1" s="2"/>
      <c r="GC1" s="2"/>
      <c r="GD1" s="58"/>
      <c r="GE1" s="2"/>
      <c r="GF1" s="2"/>
      <c r="GG1" s="58"/>
      <c r="GH1" s="2"/>
      <c r="GI1" s="2"/>
      <c r="GJ1" s="5"/>
      <c r="GK1" s="2"/>
      <c r="GL1" s="2"/>
      <c r="GM1" s="5"/>
      <c r="GN1" s="2"/>
      <c r="GO1" s="2"/>
      <c r="GP1" s="5"/>
      <c r="GQ1" s="2"/>
      <c r="GR1" s="2"/>
      <c r="GS1" s="5"/>
      <c r="GT1" s="2"/>
      <c r="GU1" s="2"/>
      <c r="GV1" s="5"/>
      <c r="GW1" s="1" t="s">
        <v>28</v>
      </c>
      <c r="GX1" s="2"/>
      <c r="GY1" s="2"/>
      <c r="GZ1" s="5"/>
      <c r="HA1" s="3"/>
      <c r="HB1" s="3"/>
      <c r="HC1" s="5"/>
      <c r="HD1" s="5"/>
      <c r="HE1" s="5"/>
      <c r="HF1" s="5"/>
      <c r="HG1" s="5"/>
      <c r="HH1" s="5"/>
    </row>
    <row r="2" spans="1:298" ht="20.25">
      <c r="A2" s="58"/>
      <c r="B2" s="5"/>
      <c r="C2" s="687"/>
      <c r="D2" s="687"/>
      <c r="E2" s="5"/>
      <c r="F2" s="687"/>
      <c r="G2" s="687"/>
      <c r="H2" s="5"/>
      <c r="I2" s="687"/>
      <c r="J2" s="687"/>
      <c r="K2" s="5"/>
      <c r="L2" s="687"/>
      <c r="M2" s="687"/>
      <c r="N2" s="5"/>
      <c r="O2" s="687"/>
      <c r="P2" s="687"/>
      <c r="Q2" s="5"/>
      <c r="R2" s="687"/>
      <c r="S2" s="687"/>
      <c r="T2" s="5"/>
      <c r="U2" s="687"/>
      <c r="V2" s="687"/>
      <c r="W2" s="5"/>
      <c r="X2" s="688"/>
      <c r="Y2" s="688"/>
      <c r="Z2" s="5"/>
      <c r="AA2" s="688"/>
      <c r="AB2" s="688"/>
      <c r="AC2" s="5"/>
      <c r="AD2" s="688"/>
      <c r="AE2" s="688"/>
      <c r="AF2" s="5"/>
      <c r="AG2" s="688"/>
      <c r="AH2" s="688"/>
      <c r="AI2" s="5"/>
      <c r="AJ2" s="688"/>
      <c r="AK2" s="688"/>
      <c r="AL2" s="5"/>
      <c r="AM2" s="688"/>
      <c r="AN2" s="688"/>
      <c r="AO2" s="5"/>
      <c r="AP2" s="689"/>
      <c r="AQ2" s="689"/>
      <c r="AR2" s="5"/>
      <c r="AS2" s="689"/>
      <c r="AT2" s="689"/>
      <c r="AU2" s="5"/>
      <c r="AV2" s="689"/>
      <c r="AW2" s="689"/>
      <c r="AX2" s="5"/>
      <c r="AY2" s="689"/>
      <c r="AZ2" s="689"/>
      <c r="BA2" s="5"/>
      <c r="BB2" s="689"/>
      <c r="BC2" s="689"/>
      <c r="BD2" s="150"/>
      <c r="BE2" s="689"/>
      <c r="BF2" s="689"/>
      <c r="BG2" s="150"/>
      <c r="BH2" s="689"/>
      <c r="BI2" s="689"/>
      <c r="BJ2" s="150"/>
      <c r="BK2" s="689"/>
      <c r="BL2" s="689"/>
      <c r="BM2" s="150"/>
      <c r="BN2" s="689"/>
      <c r="BO2" s="689"/>
      <c r="BP2" s="150"/>
      <c r="BQ2" s="689"/>
      <c r="BR2" s="689"/>
      <c r="BS2" s="150"/>
      <c r="BT2" s="689"/>
      <c r="BU2" s="689"/>
      <c r="BV2" s="150"/>
      <c r="BW2" s="689"/>
      <c r="BX2" s="689"/>
      <c r="BY2" s="150"/>
      <c r="BZ2" s="689"/>
      <c r="CA2" s="689"/>
      <c r="CB2" s="150"/>
      <c r="CC2" s="689"/>
      <c r="CD2" s="689"/>
      <c r="CE2" s="150"/>
      <c r="CF2" s="689"/>
      <c r="CG2" s="689"/>
      <c r="CH2" s="150"/>
      <c r="CI2" s="689"/>
      <c r="CJ2" s="689"/>
      <c r="CK2" s="150"/>
      <c r="CL2" s="689"/>
      <c r="CM2" s="689"/>
      <c r="CN2" s="150"/>
      <c r="CO2" s="689"/>
      <c r="CP2" s="689"/>
      <c r="CQ2" s="150"/>
      <c r="CR2" s="689"/>
      <c r="CS2" s="689"/>
      <c r="CT2" s="150"/>
      <c r="CU2" s="689"/>
      <c r="CV2" s="689"/>
      <c r="CW2" s="5"/>
      <c r="CX2" s="689"/>
      <c r="CY2" s="689"/>
      <c r="CZ2" s="5"/>
      <c r="DA2" s="689"/>
      <c r="DB2" s="689"/>
      <c r="DC2" s="5"/>
      <c r="DD2" s="689"/>
      <c r="DE2" s="689"/>
      <c r="DF2" s="5"/>
      <c r="DG2" s="5"/>
      <c r="DH2" s="689"/>
      <c r="DI2" s="689"/>
      <c r="DJ2" s="5"/>
      <c r="DK2" s="689"/>
      <c r="DL2" s="689"/>
      <c r="DM2" s="5"/>
      <c r="DN2" s="689"/>
      <c r="DO2" s="689"/>
      <c r="DP2" s="150"/>
      <c r="DQ2" s="690"/>
      <c r="DR2" s="690"/>
      <c r="DS2" s="362"/>
      <c r="DT2" s="690"/>
      <c r="DU2" s="690"/>
      <c r="DV2" s="362"/>
      <c r="DW2" s="690"/>
      <c r="DX2" s="690"/>
      <c r="DY2" s="362"/>
      <c r="DZ2" s="690"/>
      <c r="EA2" s="690"/>
      <c r="EB2" s="362"/>
      <c r="EC2" s="689"/>
      <c r="ED2" s="689"/>
      <c r="EE2" s="150"/>
      <c r="EF2" s="689"/>
      <c r="EG2" s="689"/>
      <c r="EH2" s="150"/>
      <c r="EI2" s="689"/>
      <c r="EJ2" s="689"/>
      <c r="EK2" s="150"/>
      <c r="EL2" s="689"/>
      <c r="EM2" s="689"/>
      <c r="EN2" s="5"/>
      <c r="EO2" s="691"/>
      <c r="EP2" s="691"/>
      <c r="EQ2" s="150"/>
      <c r="ER2" s="689"/>
      <c r="ES2" s="689"/>
      <c r="ET2" s="150"/>
      <c r="EU2" s="691"/>
      <c r="EV2" s="691"/>
      <c r="EW2" s="150"/>
      <c r="EX2" s="689"/>
      <c r="EY2" s="689"/>
      <c r="EZ2" s="150"/>
      <c r="FA2" s="691"/>
      <c r="FB2" s="691"/>
      <c r="FC2" s="150"/>
      <c r="FD2" s="691"/>
      <c r="FE2" s="691"/>
      <c r="FF2" s="150"/>
      <c r="FG2" s="689"/>
      <c r="FH2" s="689"/>
      <c r="FI2" s="150"/>
      <c r="FJ2" s="691"/>
      <c r="FK2" s="691"/>
      <c r="FL2" s="150"/>
      <c r="FM2" s="689"/>
      <c r="FN2" s="689"/>
      <c r="FO2" s="150"/>
      <c r="FP2" s="691"/>
      <c r="FQ2" s="691"/>
      <c r="FR2" s="150"/>
      <c r="FS2" s="689"/>
      <c r="FT2" s="689"/>
      <c r="FU2" s="150"/>
      <c r="FV2" s="691"/>
      <c r="FW2" s="691"/>
      <c r="FX2" s="150"/>
      <c r="FY2" s="691"/>
      <c r="FZ2" s="691"/>
      <c r="GA2" s="150"/>
      <c r="GB2" s="689"/>
      <c r="GC2" s="689"/>
      <c r="GD2" s="150"/>
      <c r="GE2" s="691"/>
      <c r="GF2" s="691"/>
      <c r="GG2" s="153"/>
      <c r="GH2" s="689"/>
      <c r="GI2" s="689"/>
      <c r="GJ2" s="150"/>
      <c r="GK2" s="691"/>
      <c r="GL2" s="691"/>
      <c r="GM2" s="150"/>
      <c r="GN2" s="689"/>
      <c r="GO2" s="689"/>
      <c r="GP2" s="150"/>
      <c r="GQ2" s="691"/>
      <c r="GR2" s="691"/>
      <c r="GS2" s="150"/>
      <c r="GT2" s="691"/>
      <c r="GU2" s="691"/>
      <c r="GV2" s="150"/>
      <c r="GW2" s="153"/>
      <c r="GX2" s="154"/>
      <c r="GY2" s="154"/>
      <c r="GZ2" s="150"/>
      <c r="HA2" s="155"/>
      <c r="HB2" s="155"/>
      <c r="HC2" s="150"/>
      <c r="HD2" s="156"/>
      <c r="HE2" s="156"/>
      <c r="HF2" s="150"/>
      <c r="HG2" s="157"/>
      <c r="HH2" s="157"/>
      <c r="HI2" s="157"/>
      <c r="HJ2" s="157"/>
      <c r="HK2" s="157"/>
      <c r="HL2" s="157"/>
      <c r="HM2" s="157"/>
      <c r="HN2" s="157"/>
      <c r="HO2" s="157"/>
      <c r="HP2" s="157"/>
      <c r="HQ2" s="157"/>
      <c r="HR2" s="157"/>
      <c r="HS2" s="157"/>
      <c r="HT2" s="157"/>
      <c r="HU2" s="157"/>
      <c r="HV2" s="157"/>
      <c r="HW2" s="157"/>
      <c r="HX2" s="157"/>
      <c r="HY2" s="157"/>
      <c r="HZ2" s="157"/>
      <c r="IA2" s="157"/>
      <c r="IB2" s="157"/>
      <c r="IC2" s="157"/>
      <c r="ID2" s="157"/>
      <c r="IE2" s="157"/>
      <c r="IF2" s="157"/>
      <c r="IG2" s="157"/>
      <c r="IH2" s="157"/>
      <c r="II2" s="157"/>
      <c r="IJ2" s="157"/>
      <c r="IK2" s="157"/>
      <c r="IL2" s="157"/>
      <c r="IM2" s="157"/>
      <c r="IN2" s="157"/>
      <c r="IO2" s="157"/>
      <c r="IP2" s="157"/>
      <c r="IQ2" s="157"/>
      <c r="IR2" s="157"/>
      <c r="IS2" s="157"/>
      <c r="IT2" s="157"/>
      <c r="IU2" s="157"/>
      <c r="IV2" s="157"/>
      <c r="IW2" s="157"/>
      <c r="IX2" s="157"/>
      <c r="IY2" s="157"/>
      <c r="IZ2" s="157"/>
      <c r="JA2" s="157"/>
      <c r="JB2" s="157"/>
      <c r="JC2" s="157"/>
      <c r="JD2" s="157"/>
      <c r="JE2" s="157"/>
      <c r="JF2" s="157"/>
      <c r="JG2" s="157"/>
      <c r="JH2" s="157"/>
      <c r="JI2" s="157"/>
      <c r="JJ2" s="157"/>
      <c r="JK2" s="157"/>
      <c r="JL2" s="157"/>
      <c r="JM2" s="157"/>
      <c r="JN2" s="157"/>
      <c r="JO2" s="157"/>
      <c r="JP2" s="157"/>
      <c r="JQ2" s="157"/>
      <c r="JR2" s="157"/>
      <c r="JS2" s="157"/>
      <c r="JT2" s="157"/>
      <c r="JU2" s="157"/>
      <c r="JV2" s="157"/>
      <c r="JW2" s="157"/>
      <c r="JX2" s="157"/>
      <c r="JY2" s="157"/>
      <c r="JZ2" s="157"/>
      <c r="KA2" s="157"/>
      <c r="KB2" s="157"/>
      <c r="KC2" s="157"/>
      <c r="KD2" s="157"/>
      <c r="KE2" s="157"/>
      <c r="KF2" s="157"/>
      <c r="KG2" s="157"/>
      <c r="KH2" s="157"/>
      <c r="KI2" s="157"/>
      <c r="KJ2" s="157"/>
      <c r="KK2" s="157"/>
      <c r="KL2" s="157"/>
    </row>
    <row r="3" spans="1:298" ht="36" customHeight="1">
      <c r="A3" s="63" t="s">
        <v>374</v>
      </c>
      <c r="B3" s="64"/>
      <c r="C3" s="264" t="s">
        <v>916</v>
      </c>
      <c r="D3" s="619" t="s">
        <v>823</v>
      </c>
      <c r="E3" s="620"/>
      <c r="F3" s="264" t="s">
        <v>893</v>
      </c>
      <c r="G3" s="619" t="s">
        <v>796</v>
      </c>
      <c r="H3" s="64"/>
      <c r="I3" s="264" t="s">
        <v>891</v>
      </c>
      <c r="J3" s="619" t="s">
        <v>805</v>
      </c>
      <c r="K3" s="620"/>
      <c r="L3" s="264" t="s">
        <v>892</v>
      </c>
      <c r="M3" s="619" t="s">
        <v>797</v>
      </c>
      <c r="N3" s="663"/>
      <c r="O3" s="264" t="s">
        <v>876</v>
      </c>
      <c r="P3" s="264" t="s">
        <v>794</v>
      </c>
      <c r="Q3" s="663"/>
      <c r="R3" s="662" t="s">
        <v>845</v>
      </c>
      <c r="S3" s="662" t="s">
        <v>767</v>
      </c>
      <c r="T3" s="663"/>
      <c r="U3" s="662" t="s">
        <v>795</v>
      </c>
      <c r="V3" s="662" t="s">
        <v>717</v>
      </c>
      <c r="W3" s="663"/>
      <c r="X3" s="264" t="s">
        <v>823</v>
      </c>
      <c r="Y3" s="264" t="s">
        <v>735</v>
      </c>
      <c r="Z3" s="620"/>
      <c r="AA3" s="264" t="s">
        <v>796</v>
      </c>
      <c r="AB3" s="264" t="s">
        <v>716</v>
      </c>
      <c r="AC3" s="620"/>
      <c r="AD3" s="619" t="s">
        <v>805</v>
      </c>
      <c r="AE3" s="619" t="s">
        <v>714</v>
      </c>
      <c r="AF3" s="620"/>
      <c r="AG3" s="619" t="s">
        <v>797</v>
      </c>
      <c r="AH3" s="619" t="s">
        <v>715</v>
      </c>
      <c r="AI3" s="620"/>
      <c r="AJ3" s="619" t="s">
        <v>717</v>
      </c>
      <c r="AK3" s="619" t="s">
        <v>633</v>
      </c>
      <c r="AL3" s="620"/>
      <c r="AM3" s="619" t="s">
        <v>780</v>
      </c>
      <c r="AN3" s="619" t="s">
        <v>781</v>
      </c>
      <c r="AO3" s="621"/>
      <c r="AP3" s="264" t="s">
        <v>716</v>
      </c>
      <c r="AQ3" s="264" t="s">
        <v>634</v>
      </c>
      <c r="AR3" s="158"/>
      <c r="AS3" s="264" t="s">
        <v>735</v>
      </c>
      <c r="AT3" s="264" t="s">
        <v>656</v>
      </c>
      <c r="AU3" s="64"/>
      <c r="AV3" s="264" t="s">
        <v>715</v>
      </c>
      <c r="AW3" s="363" t="s">
        <v>644</v>
      </c>
      <c r="AX3" s="64"/>
      <c r="AY3" s="264" t="s">
        <v>714</v>
      </c>
      <c r="AZ3" s="363" t="s">
        <v>643</v>
      </c>
      <c r="BA3" s="64"/>
      <c r="BB3" s="264" t="s">
        <v>704</v>
      </c>
      <c r="BC3" s="363" t="s">
        <v>632</v>
      </c>
      <c r="BD3" s="158"/>
      <c r="BE3" s="264" t="s">
        <v>633</v>
      </c>
      <c r="BF3" s="363" t="s">
        <v>615</v>
      </c>
      <c r="BG3" s="158"/>
      <c r="BH3" s="264" t="s">
        <v>670</v>
      </c>
      <c r="BI3" s="363" t="s">
        <v>613</v>
      </c>
      <c r="BJ3" s="158"/>
      <c r="BK3" s="264" t="s">
        <v>634</v>
      </c>
      <c r="BL3" s="363" t="s">
        <v>600</v>
      </c>
      <c r="BM3" s="158"/>
      <c r="BN3" s="264" t="s">
        <v>656</v>
      </c>
      <c r="BO3" s="363" t="s">
        <v>599</v>
      </c>
      <c r="BP3" s="158"/>
      <c r="BQ3" s="264" t="s">
        <v>644</v>
      </c>
      <c r="BR3" s="363" t="s">
        <v>644</v>
      </c>
      <c r="BS3" s="158"/>
      <c r="BT3" s="264" t="s">
        <v>643</v>
      </c>
      <c r="BU3" s="363" t="s">
        <v>587</v>
      </c>
      <c r="BV3" s="158"/>
      <c r="BW3" s="264" t="s">
        <v>632</v>
      </c>
      <c r="BX3" s="363" t="s">
        <v>577</v>
      </c>
      <c r="BY3" s="158"/>
      <c r="BZ3" s="264" t="s">
        <v>615</v>
      </c>
      <c r="CA3" s="363" t="s">
        <v>576</v>
      </c>
      <c r="CB3" s="158"/>
      <c r="CC3" s="264" t="s">
        <v>626</v>
      </c>
      <c r="CD3" s="363" t="s">
        <v>627</v>
      </c>
      <c r="CE3" s="158"/>
      <c r="CF3" s="264" t="s">
        <v>600</v>
      </c>
      <c r="CG3" s="363" t="s">
        <v>562</v>
      </c>
      <c r="CH3" s="158"/>
      <c r="CI3" s="264" t="s">
        <v>599</v>
      </c>
      <c r="CJ3" s="363" t="s">
        <v>561</v>
      </c>
      <c r="CK3" s="158"/>
      <c r="CL3" s="264" t="s">
        <v>586</v>
      </c>
      <c r="CM3" s="363" t="s">
        <v>549</v>
      </c>
      <c r="CN3" s="158"/>
      <c r="CO3" s="264" t="s">
        <v>587</v>
      </c>
      <c r="CP3" s="363" t="s">
        <v>588</v>
      </c>
      <c r="CQ3" s="158"/>
      <c r="CR3" s="264" t="s">
        <v>577</v>
      </c>
      <c r="CS3" s="363" t="s">
        <v>535</v>
      </c>
      <c r="CT3" s="158"/>
      <c r="CU3" s="363">
        <v>2019</v>
      </c>
      <c r="CV3" s="363">
        <v>2018</v>
      </c>
      <c r="CW3" s="364"/>
      <c r="CX3" s="363" t="s">
        <v>576</v>
      </c>
      <c r="CY3" s="363" t="s">
        <v>568</v>
      </c>
      <c r="CZ3" s="364"/>
      <c r="DA3" s="363" t="s">
        <v>561</v>
      </c>
      <c r="DB3" s="363" t="s">
        <v>500</v>
      </c>
      <c r="DC3" s="364"/>
      <c r="DD3" s="363" t="s">
        <v>562</v>
      </c>
      <c r="DE3" s="363" t="s">
        <v>501</v>
      </c>
      <c r="DF3" s="364"/>
      <c r="DG3" s="364"/>
      <c r="DH3" s="363" t="s">
        <v>550</v>
      </c>
      <c r="DI3" s="363" t="s">
        <v>551</v>
      </c>
      <c r="DJ3" s="364"/>
      <c r="DK3" s="363" t="s">
        <v>549</v>
      </c>
      <c r="DL3" s="363" t="s">
        <v>439</v>
      </c>
      <c r="DM3" s="364"/>
      <c r="DN3" s="363" t="s">
        <v>535</v>
      </c>
      <c r="DO3" s="363" t="s">
        <v>281</v>
      </c>
      <c r="DP3" s="364"/>
      <c r="DQ3" s="363">
        <v>2018</v>
      </c>
      <c r="DR3" s="363">
        <v>2017</v>
      </c>
      <c r="DS3" s="364"/>
      <c r="DT3" s="363" t="s">
        <v>517</v>
      </c>
      <c r="DU3" s="363" t="s">
        <v>441</v>
      </c>
      <c r="DV3" s="364"/>
      <c r="DW3" s="363" t="s">
        <v>500</v>
      </c>
      <c r="DX3" s="363" t="s">
        <v>329</v>
      </c>
      <c r="DY3" s="364"/>
      <c r="DZ3" s="363" t="s">
        <v>501</v>
      </c>
      <c r="EA3" s="363" t="s">
        <v>285</v>
      </c>
      <c r="EB3" s="364"/>
      <c r="EC3" s="363" t="s">
        <v>438</v>
      </c>
      <c r="ED3" s="363" t="s">
        <v>300</v>
      </c>
      <c r="EE3" s="364"/>
      <c r="EF3" s="363" t="s">
        <v>439</v>
      </c>
      <c r="EG3" s="363" t="s">
        <v>287</v>
      </c>
      <c r="EH3" s="364"/>
      <c r="EI3" s="363" t="s">
        <v>281</v>
      </c>
      <c r="EJ3" s="363" t="s">
        <v>282</v>
      </c>
      <c r="EK3" s="364"/>
      <c r="EL3" s="363">
        <v>2017</v>
      </c>
      <c r="EM3" s="363">
        <v>2016</v>
      </c>
      <c r="EN3" s="364"/>
      <c r="EO3" s="363" t="s">
        <v>283</v>
      </c>
      <c r="EP3" s="363" t="s">
        <v>284</v>
      </c>
      <c r="EQ3" s="364"/>
      <c r="ER3" s="363" t="s">
        <v>329</v>
      </c>
      <c r="ES3" s="363" t="s">
        <v>304</v>
      </c>
      <c r="ET3" s="364"/>
      <c r="EU3" s="363" t="s">
        <v>285</v>
      </c>
      <c r="EV3" s="363" t="s">
        <v>286</v>
      </c>
      <c r="EW3" s="364"/>
      <c r="EX3" s="363" t="s">
        <v>300</v>
      </c>
      <c r="EY3" s="363" t="s">
        <v>301</v>
      </c>
      <c r="EZ3" s="158"/>
      <c r="FA3" s="151" t="s">
        <v>287</v>
      </c>
      <c r="FB3" s="151" t="s">
        <v>288</v>
      </c>
      <c r="FC3" s="158"/>
      <c r="FD3" s="151" t="s">
        <v>282</v>
      </c>
      <c r="FE3" s="151" t="s">
        <v>289</v>
      </c>
      <c r="FF3" s="158"/>
      <c r="FG3" s="151">
        <v>2016</v>
      </c>
      <c r="FH3" s="151">
        <v>2015</v>
      </c>
      <c r="FI3" s="157"/>
      <c r="FJ3" s="151" t="s">
        <v>326</v>
      </c>
      <c r="FK3" s="151" t="s">
        <v>327</v>
      </c>
      <c r="FL3" s="158"/>
      <c r="FM3" s="151" t="s">
        <v>304</v>
      </c>
      <c r="FN3" s="151" t="s">
        <v>305</v>
      </c>
      <c r="FO3" s="157"/>
      <c r="FP3" s="151" t="s">
        <v>306</v>
      </c>
      <c r="FQ3" s="151" t="s">
        <v>499</v>
      </c>
      <c r="FR3" s="158"/>
      <c r="FS3" s="152" t="s">
        <v>308</v>
      </c>
      <c r="FT3" s="151" t="s">
        <v>309</v>
      </c>
      <c r="FU3" s="158"/>
      <c r="FV3" s="152" t="s">
        <v>310</v>
      </c>
      <c r="FW3" s="151" t="s">
        <v>311</v>
      </c>
      <c r="FX3" s="158"/>
      <c r="FY3" s="152" t="s">
        <v>312</v>
      </c>
      <c r="FZ3" s="151" t="s">
        <v>313</v>
      </c>
      <c r="GA3" s="158"/>
      <c r="GB3" s="152">
        <v>2015</v>
      </c>
      <c r="GC3" s="151">
        <v>2014</v>
      </c>
      <c r="GD3" s="158"/>
      <c r="GE3" s="152" t="s">
        <v>303</v>
      </c>
      <c r="GF3" s="151" t="s">
        <v>292</v>
      </c>
      <c r="GG3" s="158"/>
      <c r="GH3" s="151" t="s">
        <v>305</v>
      </c>
      <c r="GI3" s="151" t="s">
        <v>314</v>
      </c>
      <c r="GJ3" s="157"/>
      <c r="GK3" s="151" t="s">
        <v>315</v>
      </c>
      <c r="GL3" s="151" t="s">
        <v>316</v>
      </c>
      <c r="GM3" s="157"/>
      <c r="GN3" s="151" t="s">
        <v>317</v>
      </c>
      <c r="GO3" s="151" t="s">
        <v>290</v>
      </c>
      <c r="GP3" s="157"/>
      <c r="GQ3" s="151" t="s">
        <v>318</v>
      </c>
      <c r="GR3" s="151" t="s">
        <v>296</v>
      </c>
      <c r="GS3" s="157"/>
      <c r="GT3" s="151" t="s">
        <v>319</v>
      </c>
      <c r="GU3" s="151" t="s">
        <v>320</v>
      </c>
      <c r="GV3" s="157"/>
      <c r="GW3" s="159" t="s">
        <v>374</v>
      </c>
      <c r="GX3" s="160">
        <v>2014</v>
      </c>
      <c r="GY3" s="160">
        <v>2013</v>
      </c>
      <c r="GZ3" s="157"/>
      <c r="HA3" s="160" t="s">
        <v>314</v>
      </c>
      <c r="HB3" s="160" t="s">
        <v>321</v>
      </c>
      <c r="HC3" s="157"/>
      <c r="HD3" s="160" t="s">
        <v>290</v>
      </c>
      <c r="HE3" s="160" t="s">
        <v>291</v>
      </c>
      <c r="HF3" s="157"/>
      <c r="HG3" s="160">
        <v>2013</v>
      </c>
      <c r="HH3" s="160">
        <v>2012</v>
      </c>
      <c r="HI3" s="157"/>
      <c r="HJ3" s="157"/>
      <c r="HK3" s="157"/>
      <c r="HL3" s="157"/>
      <c r="HM3" s="157"/>
      <c r="HN3" s="157"/>
      <c r="HO3" s="157"/>
      <c r="HP3" s="157"/>
      <c r="HQ3" s="157"/>
      <c r="HR3" s="157"/>
      <c r="HS3" s="157"/>
      <c r="HT3" s="157"/>
      <c r="HU3" s="157"/>
      <c r="HV3" s="157"/>
      <c r="HW3" s="157"/>
      <c r="HX3" s="157"/>
      <c r="HY3" s="157"/>
      <c r="HZ3" s="157"/>
      <c r="IA3" s="157"/>
      <c r="IB3" s="157"/>
      <c r="IC3" s="157"/>
      <c r="ID3" s="157"/>
      <c r="IE3" s="157"/>
      <c r="IF3" s="157"/>
      <c r="IG3" s="157"/>
      <c r="IH3" s="157"/>
      <c r="II3" s="157"/>
      <c r="IJ3" s="157"/>
      <c r="IK3" s="157"/>
      <c r="IL3" s="157"/>
      <c r="IM3" s="157"/>
      <c r="IN3" s="157"/>
      <c r="IO3" s="157"/>
      <c r="IP3" s="157"/>
      <c r="IQ3" s="157"/>
      <c r="IR3" s="157"/>
      <c r="IS3" s="157"/>
      <c r="IT3" s="157"/>
      <c r="IU3" s="157"/>
      <c r="IV3" s="157"/>
      <c r="IW3" s="157"/>
      <c r="IX3" s="157"/>
      <c r="IY3" s="157"/>
      <c r="IZ3" s="157"/>
      <c r="JA3" s="157"/>
      <c r="JB3" s="157"/>
      <c r="JC3" s="157"/>
      <c r="JD3" s="157"/>
      <c r="JE3" s="157"/>
      <c r="JF3" s="157"/>
      <c r="JG3" s="157"/>
      <c r="JH3" s="157"/>
      <c r="JI3" s="157"/>
      <c r="JJ3" s="157"/>
      <c r="JK3" s="157"/>
      <c r="JL3" s="157"/>
      <c r="JM3" s="157"/>
      <c r="JN3" s="157"/>
      <c r="JO3" s="157"/>
      <c r="JP3" s="157"/>
      <c r="JQ3" s="157"/>
      <c r="JR3" s="157"/>
      <c r="JS3" s="157"/>
      <c r="JT3" s="157"/>
      <c r="JU3" s="157"/>
      <c r="JV3" s="157"/>
      <c r="JW3" s="157"/>
      <c r="JX3" s="157"/>
      <c r="JY3" s="157"/>
      <c r="JZ3" s="157"/>
      <c r="KA3" s="157"/>
      <c r="KB3" s="157"/>
      <c r="KC3" s="157"/>
      <c r="KD3" s="157"/>
      <c r="KE3" s="157"/>
      <c r="KF3" s="157"/>
      <c r="KG3" s="157"/>
      <c r="KH3" s="157"/>
      <c r="KI3" s="157"/>
      <c r="KJ3" s="157"/>
      <c r="KK3" s="157"/>
      <c r="KL3" s="157"/>
    </row>
    <row r="4" spans="1:298">
      <c r="A4" s="65" t="s">
        <v>81</v>
      </c>
      <c r="B4" s="66"/>
      <c r="C4" s="664"/>
      <c r="D4" s="665"/>
      <c r="E4" s="666"/>
      <c r="F4" s="664"/>
      <c r="G4" s="665"/>
      <c r="H4" s="66"/>
      <c r="I4" s="664"/>
      <c r="J4" s="665"/>
      <c r="K4" s="666"/>
      <c r="L4" s="664"/>
      <c r="M4" s="665"/>
      <c r="N4" s="666"/>
      <c r="O4" s="664"/>
      <c r="P4" s="665"/>
      <c r="Q4" s="666"/>
      <c r="R4" s="664"/>
      <c r="S4" s="665"/>
      <c r="T4" s="666"/>
      <c r="U4" s="664"/>
      <c r="V4" s="665"/>
      <c r="W4" s="666"/>
      <c r="X4" s="622"/>
      <c r="Y4" s="623"/>
      <c r="Z4" s="624"/>
      <c r="AA4" s="622"/>
      <c r="AB4" s="623"/>
      <c r="AC4" s="624"/>
      <c r="AD4" s="622"/>
      <c r="AE4" s="623"/>
      <c r="AF4" s="624"/>
      <c r="AG4" s="622"/>
      <c r="AH4" s="623"/>
      <c r="AI4" s="624"/>
      <c r="AJ4" s="622"/>
      <c r="AK4" s="623"/>
      <c r="AL4" s="624"/>
      <c r="AM4" s="622"/>
      <c r="AN4" s="623"/>
      <c r="AO4" s="624"/>
      <c r="AP4" s="370">
        <v>144000</v>
      </c>
      <c r="AQ4" s="143">
        <v>71000</v>
      </c>
      <c r="AR4" s="66"/>
      <c r="AS4" s="370">
        <v>311000</v>
      </c>
      <c r="AT4" s="143">
        <v>193000</v>
      </c>
      <c r="AU4" s="66"/>
      <c r="AV4" s="370">
        <f t="shared" ref="AV4:AW10" si="0">AY4-BB4</f>
        <v>98000</v>
      </c>
      <c r="AW4" s="143">
        <f t="shared" si="0"/>
        <v>55000</v>
      </c>
      <c r="AX4" s="66"/>
      <c r="AY4" s="370">
        <v>167000</v>
      </c>
      <c r="AZ4" s="143">
        <v>122000</v>
      </c>
      <c r="BA4" s="66"/>
      <c r="BB4" s="370">
        <v>69000</v>
      </c>
      <c r="BC4" s="143">
        <v>67000</v>
      </c>
      <c r="BD4" s="163"/>
      <c r="BE4" s="370">
        <f t="shared" ref="BE4:BE10" si="1">BH4-BN4</f>
        <v>83385</v>
      </c>
      <c r="BF4" s="143">
        <f t="shared" ref="BF4:BF10" si="2">BI4-BO4</f>
        <v>118200</v>
      </c>
      <c r="BG4" s="163"/>
      <c r="BH4" s="370">
        <v>276000</v>
      </c>
      <c r="BI4" s="143">
        <v>345000</v>
      </c>
      <c r="BJ4" s="163"/>
      <c r="BK4" s="370">
        <f t="shared" ref="BK4:BL10" si="3">BN4-BT4</f>
        <v>70897</v>
      </c>
      <c r="BL4" s="143">
        <f t="shared" si="3"/>
        <v>108716</v>
      </c>
      <c r="BM4" s="163"/>
      <c r="BN4" s="370">
        <v>192615</v>
      </c>
      <c r="BO4" s="143">
        <v>226800</v>
      </c>
      <c r="BP4" s="163"/>
      <c r="BQ4" s="370">
        <f t="shared" ref="BQ4:BR10" si="4">BT4-BW4</f>
        <v>54408</v>
      </c>
      <c r="BR4" s="143">
        <f t="shared" si="4"/>
        <v>62803</v>
      </c>
      <c r="BS4" s="163"/>
      <c r="BT4" s="370">
        <v>121718</v>
      </c>
      <c r="BU4" s="143">
        <v>118084</v>
      </c>
      <c r="BV4" s="163"/>
      <c r="BW4" s="370">
        <v>67310</v>
      </c>
      <c r="BX4" s="143">
        <v>55281</v>
      </c>
      <c r="BY4" s="163"/>
      <c r="BZ4" s="370">
        <f t="shared" ref="BZ4:BZ11" si="5">CC4-CI4</f>
        <v>118257</v>
      </c>
      <c r="CA4" s="143">
        <f t="shared" ref="CA4:CA11" si="6">CD4-CJ4</f>
        <v>110457</v>
      </c>
      <c r="CB4" s="163"/>
      <c r="CC4" s="370">
        <v>345057</v>
      </c>
      <c r="CD4" s="370">
        <v>479519</v>
      </c>
      <c r="CE4" s="163"/>
      <c r="CF4" s="370">
        <f t="shared" ref="CF4:CG11" si="7">CI4-CO4</f>
        <v>108716</v>
      </c>
      <c r="CG4" s="143">
        <f t="shared" si="7"/>
        <v>132332</v>
      </c>
      <c r="CH4" s="163"/>
      <c r="CI4" s="370">
        <v>226800</v>
      </c>
      <c r="CJ4" s="370">
        <v>369062</v>
      </c>
      <c r="CK4" s="163"/>
      <c r="CL4" s="370">
        <f t="shared" ref="CL4:CL11" si="8">CO4-CR4</f>
        <v>62803</v>
      </c>
      <c r="CM4" s="143">
        <f t="shared" ref="CM4:CM11" si="9">CP4-CS4</f>
        <v>117872</v>
      </c>
      <c r="CN4" s="163"/>
      <c r="CO4" s="370">
        <v>118084</v>
      </c>
      <c r="CP4" s="143">
        <v>236730</v>
      </c>
      <c r="CQ4" s="163"/>
      <c r="CR4" s="370">
        <v>55281</v>
      </c>
      <c r="CS4" s="143">
        <v>118858</v>
      </c>
      <c r="CT4" s="163"/>
      <c r="CU4" s="365">
        <v>479519</v>
      </c>
      <c r="CV4" s="143">
        <v>412028</v>
      </c>
      <c r="CW4" s="366"/>
      <c r="CX4" s="365">
        <v>110457</v>
      </c>
      <c r="CY4" s="143">
        <v>131915</v>
      </c>
      <c r="CZ4" s="366"/>
      <c r="DA4" s="365">
        <v>369062</v>
      </c>
      <c r="DB4" s="143">
        <v>280113</v>
      </c>
      <c r="DC4" s="366"/>
      <c r="DD4" s="365">
        <v>132332</v>
      </c>
      <c r="DE4" s="143">
        <v>109103</v>
      </c>
      <c r="DF4" s="366"/>
      <c r="DG4" s="366"/>
      <c r="DH4" s="365">
        <v>236730</v>
      </c>
      <c r="DI4" s="143">
        <v>171010</v>
      </c>
      <c r="DJ4" s="366"/>
      <c r="DK4" s="365">
        <v>117872</v>
      </c>
      <c r="DL4" s="143">
        <v>93845</v>
      </c>
      <c r="DM4" s="366"/>
      <c r="DN4" s="365">
        <v>118858</v>
      </c>
      <c r="DO4" s="143">
        <v>77165</v>
      </c>
      <c r="DP4" s="366"/>
      <c r="DQ4" s="365">
        <v>247493</v>
      </c>
      <c r="DR4" s="143">
        <v>165978</v>
      </c>
      <c r="DS4" s="366"/>
      <c r="DT4" s="365">
        <f t="shared" ref="DT4:DU10" si="10">DQ4-DW4</f>
        <v>86872</v>
      </c>
      <c r="DU4" s="143">
        <f t="shared" si="10"/>
        <v>77191</v>
      </c>
      <c r="DV4" s="366"/>
      <c r="DW4" s="365">
        <v>160621</v>
      </c>
      <c r="DX4" s="143">
        <v>88787</v>
      </c>
      <c r="DY4" s="366"/>
      <c r="DZ4" s="365">
        <v>69780</v>
      </c>
      <c r="EA4" s="143">
        <v>32915</v>
      </c>
      <c r="EB4" s="366"/>
      <c r="EC4" s="365">
        <v>90841</v>
      </c>
      <c r="ED4" s="143">
        <v>55872</v>
      </c>
      <c r="EE4" s="366"/>
      <c r="EF4" s="365">
        <v>51459</v>
      </c>
      <c r="EG4" s="143">
        <v>26651</v>
      </c>
      <c r="EH4" s="366"/>
      <c r="EI4" s="365">
        <v>39382</v>
      </c>
      <c r="EJ4" s="143">
        <v>29221</v>
      </c>
      <c r="EK4" s="366"/>
      <c r="EL4" s="365">
        <v>165978</v>
      </c>
      <c r="EM4" s="143">
        <v>283169</v>
      </c>
      <c r="EN4" s="366"/>
      <c r="EO4" s="365">
        <v>77191</v>
      </c>
      <c r="EP4" s="143">
        <v>150825</v>
      </c>
      <c r="EQ4" s="366"/>
      <c r="ER4" s="365">
        <v>88787</v>
      </c>
      <c r="ES4" s="143">
        <v>132344</v>
      </c>
      <c r="ET4" s="366"/>
      <c r="EU4" s="365">
        <v>32915</v>
      </c>
      <c r="EV4" s="143">
        <v>41690</v>
      </c>
      <c r="EW4" s="366"/>
      <c r="EX4" s="365">
        <v>55872</v>
      </c>
      <c r="EY4" s="143">
        <v>90654</v>
      </c>
      <c r="EZ4" s="163"/>
      <c r="FA4" s="161">
        <v>26651</v>
      </c>
      <c r="FB4" s="162">
        <v>27237</v>
      </c>
      <c r="FC4" s="163"/>
      <c r="FD4" s="161">
        <v>29221</v>
      </c>
      <c r="FE4" s="162">
        <v>63417</v>
      </c>
      <c r="FF4" s="163"/>
      <c r="FG4" s="161">
        <v>283169</v>
      </c>
      <c r="FH4" s="162">
        <v>211458</v>
      </c>
      <c r="FI4" s="163"/>
      <c r="FJ4" s="161">
        <v>150825</v>
      </c>
      <c r="FK4" s="162">
        <v>33912</v>
      </c>
      <c r="FL4" s="163"/>
      <c r="FM4" s="161">
        <v>132344</v>
      </c>
      <c r="FN4" s="162">
        <v>177546</v>
      </c>
      <c r="FO4" s="163"/>
      <c r="FP4" s="161">
        <v>41690</v>
      </c>
      <c r="FQ4" s="162">
        <v>31301</v>
      </c>
      <c r="FR4" s="163"/>
      <c r="FS4" s="161">
        <v>90654</v>
      </c>
      <c r="FT4" s="162">
        <v>146245</v>
      </c>
      <c r="FU4" s="163"/>
      <c r="FV4" s="161">
        <v>27237</v>
      </c>
      <c r="FW4" s="162">
        <v>86032</v>
      </c>
      <c r="FX4" s="163"/>
      <c r="FY4" s="161">
        <v>63417</v>
      </c>
      <c r="FZ4" s="162">
        <v>60213</v>
      </c>
      <c r="GA4" s="163"/>
      <c r="GB4" s="161">
        <v>211458</v>
      </c>
      <c r="GC4" s="162">
        <v>188897</v>
      </c>
      <c r="GD4" s="163"/>
      <c r="GE4" s="161">
        <v>33912</v>
      </c>
      <c r="GF4" s="162">
        <v>63753</v>
      </c>
      <c r="GG4" s="163"/>
      <c r="GH4" s="162">
        <v>177546</v>
      </c>
      <c r="GI4" s="162">
        <v>125144</v>
      </c>
      <c r="GJ4" s="157"/>
      <c r="GK4" s="162">
        <v>31301</v>
      </c>
      <c r="GL4" s="162">
        <v>42876</v>
      </c>
      <c r="GM4" s="157"/>
      <c r="GN4" s="162">
        <v>146245</v>
      </c>
      <c r="GO4" s="162">
        <v>82268</v>
      </c>
      <c r="GP4" s="157"/>
      <c r="GQ4" s="162">
        <v>86032</v>
      </c>
      <c r="GR4" s="162">
        <v>38079</v>
      </c>
      <c r="GS4" s="157"/>
      <c r="GT4" s="162">
        <v>60213</v>
      </c>
      <c r="GU4" s="162">
        <v>44189</v>
      </c>
      <c r="GV4" s="157"/>
      <c r="GW4" s="164" t="s">
        <v>20</v>
      </c>
      <c r="GX4" s="162">
        <v>188897</v>
      </c>
      <c r="GY4" s="162">
        <v>256524</v>
      </c>
      <c r="GZ4" s="157"/>
      <c r="HA4" s="162">
        <v>125144</v>
      </c>
      <c r="HB4" s="162">
        <v>173182</v>
      </c>
      <c r="HC4" s="157"/>
      <c r="HD4" s="162">
        <v>82268</v>
      </c>
      <c r="HE4" s="162">
        <v>115854</v>
      </c>
      <c r="HF4" s="157"/>
      <c r="HG4" s="165">
        <v>256524</v>
      </c>
      <c r="HH4" s="165">
        <v>167268</v>
      </c>
      <c r="HI4" s="157"/>
      <c r="HJ4" s="157"/>
      <c r="HK4" s="157"/>
      <c r="HL4" s="157"/>
      <c r="HM4" s="157"/>
      <c r="HN4" s="157"/>
      <c r="HO4" s="157"/>
      <c r="HP4" s="157"/>
      <c r="HQ4" s="157"/>
      <c r="HR4" s="157"/>
      <c r="HS4" s="157"/>
      <c r="HT4" s="157"/>
      <c r="HU4" s="157"/>
      <c r="HV4" s="157"/>
      <c r="HW4" s="157"/>
      <c r="HX4" s="157"/>
      <c r="HY4" s="157"/>
      <c r="HZ4" s="157"/>
      <c r="IA4" s="157"/>
      <c r="IB4" s="157"/>
      <c r="IC4" s="157"/>
      <c r="ID4" s="157"/>
      <c r="IE4" s="157"/>
      <c r="IF4" s="157"/>
      <c r="IG4" s="157"/>
      <c r="IH4" s="157"/>
      <c r="II4" s="157"/>
      <c r="IJ4" s="157"/>
      <c r="IK4" s="157"/>
      <c r="IL4" s="157"/>
      <c r="IM4" s="157"/>
      <c r="IN4" s="157"/>
      <c r="IO4" s="157"/>
      <c r="IP4" s="157"/>
      <c r="IQ4" s="157"/>
      <c r="IR4" s="157"/>
      <c r="IS4" s="157"/>
      <c r="IT4" s="157"/>
      <c r="IU4" s="157"/>
      <c r="IV4" s="157"/>
      <c r="IW4" s="157"/>
      <c r="IX4" s="157"/>
      <c r="IY4" s="157"/>
      <c r="IZ4" s="157"/>
      <c r="JA4" s="157"/>
      <c r="JB4" s="157"/>
      <c r="JC4" s="157"/>
      <c r="JD4" s="157"/>
      <c r="JE4" s="157"/>
      <c r="JF4" s="157"/>
      <c r="JG4" s="157"/>
      <c r="JH4" s="157"/>
      <c r="JI4" s="157"/>
      <c r="JJ4" s="157"/>
      <c r="JK4" s="157"/>
      <c r="JL4" s="157"/>
      <c r="JM4" s="157"/>
      <c r="JN4" s="157"/>
      <c r="JO4" s="157"/>
      <c r="JP4" s="157"/>
      <c r="JQ4" s="157"/>
      <c r="JR4" s="157"/>
      <c r="JS4" s="157"/>
      <c r="JT4" s="157"/>
      <c r="JU4" s="157"/>
      <c r="JV4" s="157"/>
      <c r="JW4" s="157"/>
      <c r="JX4" s="157"/>
      <c r="JY4" s="157"/>
      <c r="JZ4" s="157"/>
      <c r="KA4" s="157"/>
      <c r="KB4" s="157"/>
      <c r="KC4" s="157"/>
      <c r="KD4" s="157"/>
      <c r="KE4" s="157"/>
      <c r="KF4" s="157"/>
      <c r="KG4" s="157"/>
      <c r="KH4" s="157"/>
      <c r="KI4" s="157"/>
      <c r="KJ4" s="157"/>
      <c r="KK4" s="157"/>
      <c r="KL4" s="157"/>
    </row>
    <row r="5" spans="1:298" ht="25.5">
      <c r="A5" s="471" t="s">
        <v>584</v>
      </c>
      <c r="B5" s="66"/>
      <c r="C5" s="667">
        <f>('[3]segmenty prez'!$B$35)*1000</f>
        <v>70000</v>
      </c>
      <c r="D5" s="667">
        <f>('[3]segmenty prez'!$B$71)*1000</f>
        <v>217000</v>
      </c>
      <c r="E5" s="666"/>
      <c r="F5" s="667">
        <f>('[3]segmenty 3 m-ce PREZ'!$B$25)*1000</f>
        <v>30000</v>
      </c>
      <c r="G5" s="667">
        <f>('[3]segmenty 3 m-ce PREZ'!$B$54)*1000</f>
        <v>99000</v>
      </c>
      <c r="H5" s="66"/>
      <c r="I5" s="667">
        <v>40000</v>
      </c>
      <c r="J5" s="667">
        <v>118000</v>
      </c>
      <c r="K5" s="666"/>
      <c r="L5" s="667">
        <v>15000</v>
      </c>
      <c r="M5" s="667">
        <v>80000</v>
      </c>
      <c r="N5" s="666"/>
      <c r="O5" s="667">
        <f>[4]segmenty!$B$37*1000</f>
        <v>46000</v>
      </c>
      <c r="P5" s="667">
        <f>[4]segmenty!$B$75*1000</f>
        <v>74000</v>
      </c>
      <c r="Q5" s="666"/>
      <c r="R5" s="667">
        <f>([5]segmenty!$B$37)*1000</f>
        <v>568000</v>
      </c>
      <c r="S5" s="667">
        <f>([5]segmenty!$B$76)*1000</f>
        <v>383000</v>
      </c>
      <c r="T5" s="666"/>
      <c r="U5" s="667">
        <f t="shared" ref="U5:V10" si="11">R5-X5</f>
        <v>186000</v>
      </c>
      <c r="V5" s="667">
        <f t="shared" si="11"/>
        <v>115000</v>
      </c>
      <c r="W5" s="666"/>
      <c r="X5" s="610">
        <f>([6]segmenty!$B$37)*1000</f>
        <v>382000</v>
      </c>
      <c r="Y5" s="610">
        <f>([6]segmenty!$B$76)*1000</f>
        <v>268000</v>
      </c>
      <c r="Z5" s="624"/>
      <c r="AA5" s="610">
        <f>('[6]segmenty 3 m-ce PREZ'!$B$25)*1000</f>
        <v>187000</v>
      </c>
      <c r="AB5" s="610">
        <f>('[6]segmenty 3 m-ce PREZ'!$B$55)*1000</f>
        <v>151000</v>
      </c>
      <c r="AC5" s="624"/>
      <c r="AD5" s="610">
        <f>[7]segmenty!$B$37*1000</f>
        <v>195000</v>
      </c>
      <c r="AE5" s="610">
        <f>[7]segmenty!$B$75*1000</f>
        <v>117000</v>
      </c>
      <c r="AF5" s="624"/>
      <c r="AG5" s="610">
        <f>('[7]segmenty 3 m-ce PREZ'!$B$25)*1000</f>
        <v>121000</v>
      </c>
      <c r="AH5" s="610">
        <f>('[7]segmenty 3 m-ce PREZ'!$B$54)*1000</f>
        <v>53000</v>
      </c>
      <c r="AI5" s="624"/>
      <c r="AJ5" s="610">
        <f t="shared" ref="AJ5:AK10" si="12">AM5-AS5</f>
        <v>115000</v>
      </c>
      <c r="AK5" s="625">
        <f t="shared" si="12"/>
        <v>48000</v>
      </c>
      <c r="AL5" s="624"/>
      <c r="AM5" s="610">
        <v>383000</v>
      </c>
      <c r="AN5" s="610">
        <v>240000</v>
      </c>
      <c r="AO5" s="624"/>
      <c r="AP5" s="467">
        <v>151000</v>
      </c>
      <c r="AQ5" s="473">
        <v>78000</v>
      </c>
      <c r="AR5" s="66"/>
      <c r="AS5" s="467">
        <v>268000</v>
      </c>
      <c r="AT5" s="473">
        <v>192000</v>
      </c>
      <c r="AU5" s="66"/>
      <c r="AV5" s="467">
        <f t="shared" si="0"/>
        <v>53000</v>
      </c>
      <c r="AW5" s="473">
        <f t="shared" si="0"/>
        <v>56000</v>
      </c>
      <c r="AX5" s="66"/>
      <c r="AY5" s="467">
        <v>117000</v>
      </c>
      <c r="AZ5" s="473">
        <v>114000</v>
      </c>
      <c r="BA5" s="66"/>
      <c r="BB5" s="467">
        <v>64000</v>
      </c>
      <c r="BC5" s="473">
        <v>58000</v>
      </c>
      <c r="BD5" s="178"/>
      <c r="BE5" s="467">
        <f t="shared" si="1"/>
        <v>48377</v>
      </c>
      <c r="BF5" s="473">
        <f t="shared" si="2"/>
        <v>414806</v>
      </c>
      <c r="BG5" s="178"/>
      <c r="BH5" s="467">
        <v>240000</v>
      </c>
      <c r="BI5" s="473">
        <v>1437000</v>
      </c>
      <c r="BJ5" s="178"/>
      <c r="BK5" s="467">
        <f t="shared" si="3"/>
        <v>77813</v>
      </c>
      <c r="BL5" s="473">
        <f t="shared" si="3"/>
        <v>328982</v>
      </c>
      <c r="BM5" s="178"/>
      <c r="BN5" s="467">
        <v>191623</v>
      </c>
      <c r="BO5" s="473">
        <v>1022194</v>
      </c>
      <c r="BP5" s="178"/>
      <c r="BQ5" s="467">
        <f t="shared" si="4"/>
        <v>55402</v>
      </c>
      <c r="BR5" s="473">
        <f t="shared" si="4"/>
        <v>331787</v>
      </c>
      <c r="BS5" s="178"/>
      <c r="BT5" s="467">
        <v>113810</v>
      </c>
      <c r="BU5" s="473">
        <v>693212</v>
      </c>
      <c r="BV5" s="178"/>
      <c r="BW5" s="467">
        <v>58408</v>
      </c>
      <c r="BX5" s="473">
        <v>361425</v>
      </c>
      <c r="BY5" s="178"/>
      <c r="BZ5" s="467">
        <f t="shared" si="5"/>
        <v>381114</v>
      </c>
      <c r="CA5" s="473">
        <f t="shared" si="6"/>
        <v>672799</v>
      </c>
      <c r="CB5" s="178"/>
      <c r="CC5" s="467">
        <v>1336489</v>
      </c>
      <c r="CD5" s="467">
        <v>1584702</v>
      </c>
      <c r="CE5" s="178"/>
      <c r="CF5" s="467">
        <f t="shared" si="7"/>
        <v>294603</v>
      </c>
      <c r="CG5" s="473">
        <f t="shared" si="7"/>
        <v>442783</v>
      </c>
      <c r="CH5" s="178"/>
      <c r="CI5" s="467">
        <v>955375</v>
      </c>
      <c r="CJ5" s="467">
        <v>911903</v>
      </c>
      <c r="CK5" s="178"/>
      <c r="CL5" s="467">
        <f t="shared" si="8"/>
        <v>313174</v>
      </c>
      <c r="CM5" s="473">
        <f t="shared" si="9"/>
        <v>245925</v>
      </c>
      <c r="CN5" s="178"/>
      <c r="CO5" s="467">
        <v>660772</v>
      </c>
      <c r="CP5" s="473">
        <v>469120</v>
      </c>
      <c r="CQ5" s="178"/>
      <c r="CR5" s="467">
        <v>347598</v>
      </c>
      <c r="CS5" s="473">
        <v>223195</v>
      </c>
      <c r="CT5" s="178"/>
      <c r="CU5" s="341">
        <v>1683070</v>
      </c>
      <c r="CV5" s="144">
        <v>1299817</v>
      </c>
      <c r="CW5" s="366"/>
      <c r="CX5" s="341">
        <v>711141</v>
      </c>
      <c r="CY5" s="144">
        <v>390431</v>
      </c>
      <c r="CZ5" s="366"/>
      <c r="DA5" s="341">
        <v>971929</v>
      </c>
      <c r="DB5" s="144">
        <v>909386</v>
      </c>
      <c r="DC5" s="366"/>
      <c r="DD5" s="341">
        <v>471307</v>
      </c>
      <c r="DE5" s="144">
        <v>339863</v>
      </c>
      <c r="DF5" s="366"/>
      <c r="DG5" s="366"/>
      <c r="DH5" s="341">
        <v>500622</v>
      </c>
      <c r="DI5" s="144">
        <v>569523</v>
      </c>
      <c r="DJ5" s="366"/>
      <c r="DK5" s="341">
        <v>264684</v>
      </c>
      <c r="DL5" s="144">
        <v>326612</v>
      </c>
      <c r="DM5" s="366"/>
      <c r="DN5" s="341">
        <v>235938</v>
      </c>
      <c r="DO5" s="144">
        <v>242911</v>
      </c>
      <c r="DP5" s="366"/>
      <c r="DQ5" s="341">
        <v>1299817</v>
      </c>
      <c r="DR5" s="144">
        <v>1516492</v>
      </c>
      <c r="DS5" s="366"/>
      <c r="DT5" s="341">
        <f t="shared" si="10"/>
        <v>390431</v>
      </c>
      <c r="DU5" s="144">
        <f t="shared" si="10"/>
        <v>393676</v>
      </c>
      <c r="DV5" s="366"/>
      <c r="DW5" s="341">
        <v>909386</v>
      </c>
      <c r="DX5" s="144">
        <v>1122816</v>
      </c>
      <c r="DY5" s="366"/>
      <c r="DZ5" s="341">
        <v>339863</v>
      </c>
      <c r="EA5" s="144">
        <v>308899</v>
      </c>
      <c r="EB5" s="366"/>
      <c r="EC5" s="341">
        <v>569523</v>
      </c>
      <c r="ED5" s="144">
        <v>813917</v>
      </c>
      <c r="EE5" s="366"/>
      <c r="EF5" s="341">
        <v>326612</v>
      </c>
      <c r="EG5" s="144">
        <v>479224</v>
      </c>
      <c r="EH5" s="366"/>
      <c r="EI5" s="341">
        <v>242911</v>
      </c>
      <c r="EJ5" s="144">
        <v>334693</v>
      </c>
      <c r="EK5" s="366"/>
      <c r="EL5" s="341">
        <v>1516492</v>
      </c>
      <c r="EM5" s="144">
        <v>1661215</v>
      </c>
      <c r="EN5" s="366"/>
      <c r="EO5" s="341">
        <v>393676</v>
      </c>
      <c r="EP5" s="144">
        <v>550921</v>
      </c>
      <c r="EQ5" s="366"/>
      <c r="ER5" s="341">
        <v>1122816</v>
      </c>
      <c r="ES5" s="144">
        <v>1110294</v>
      </c>
      <c r="ET5" s="366"/>
      <c r="EU5" s="341">
        <v>308899</v>
      </c>
      <c r="EV5" s="144">
        <v>510474</v>
      </c>
      <c r="EW5" s="366"/>
      <c r="EX5" s="341">
        <v>813917</v>
      </c>
      <c r="EY5" s="144">
        <v>599820</v>
      </c>
      <c r="EZ5" s="163"/>
      <c r="FA5" s="166">
        <v>479224</v>
      </c>
      <c r="FB5" s="156">
        <v>343886</v>
      </c>
      <c r="FC5" s="163"/>
      <c r="FD5" s="166">
        <v>334693</v>
      </c>
      <c r="FE5" s="156">
        <v>255934</v>
      </c>
      <c r="FF5" s="163"/>
      <c r="FG5" s="166">
        <v>1661215</v>
      </c>
      <c r="FH5" s="156">
        <v>1934229</v>
      </c>
      <c r="FI5" s="163"/>
      <c r="FJ5" s="166">
        <v>550921</v>
      </c>
      <c r="FK5" s="156">
        <v>525579</v>
      </c>
      <c r="FL5" s="163"/>
      <c r="FM5" s="166">
        <v>1110294</v>
      </c>
      <c r="FN5" s="156">
        <v>1408650</v>
      </c>
      <c r="FO5" s="163"/>
      <c r="FP5" s="166">
        <v>510474</v>
      </c>
      <c r="FQ5" s="156">
        <v>523081</v>
      </c>
      <c r="FR5" s="163"/>
      <c r="FS5" s="166">
        <v>599820</v>
      </c>
      <c r="FT5" s="156">
        <v>885569</v>
      </c>
      <c r="FU5" s="163"/>
      <c r="FV5" s="166">
        <v>343886</v>
      </c>
      <c r="FW5" s="156">
        <v>462379</v>
      </c>
      <c r="FX5" s="163"/>
      <c r="FY5" s="166">
        <v>255934</v>
      </c>
      <c r="FZ5" s="156">
        <v>423190</v>
      </c>
      <c r="GA5" s="163"/>
      <c r="GB5" s="166">
        <v>1934229</v>
      </c>
      <c r="GC5" s="156">
        <v>855029</v>
      </c>
      <c r="GD5" s="163"/>
      <c r="GE5" s="166">
        <v>525579</v>
      </c>
      <c r="GF5" s="156">
        <v>314945</v>
      </c>
      <c r="GG5" s="163"/>
      <c r="GH5" s="156">
        <v>1408650</v>
      </c>
      <c r="GI5" s="156">
        <v>540084</v>
      </c>
      <c r="GJ5" s="157"/>
      <c r="GK5" s="156">
        <v>523081</v>
      </c>
      <c r="GL5" s="156">
        <v>257781</v>
      </c>
      <c r="GM5" s="157"/>
      <c r="GN5" s="156">
        <v>885569</v>
      </c>
      <c r="GO5" s="156">
        <v>282303</v>
      </c>
      <c r="GP5" s="157"/>
      <c r="GQ5" s="156">
        <v>462379</v>
      </c>
      <c r="GR5" s="156">
        <v>155138</v>
      </c>
      <c r="GS5" s="157"/>
      <c r="GT5" s="156">
        <v>423190</v>
      </c>
      <c r="GU5" s="156">
        <v>127165</v>
      </c>
      <c r="GV5" s="157"/>
      <c r="GW5" s="163" t="s">
        <v>21</v>
      </c>
      <c r="GX5" s="156">
        <v>403503</v>
      </c>
      <c r="GY5" s="156">
        <v>520926</v>
      </c>
      <c r="GZ5" s="157"/>
      <c r="HA5" s="156">
        <v>234821</v>
      </c>
      <c r="HB5" s="156">
        <v>402703</v>
      </c>
      <c r="HC5" s="157"/>
      <c r="HD5" s="156">
        <v>126211</v>
      </c>
      <c r="HE5" s="156">
        <v>274748</v>
      </c>
      <c r="HF5" s="157"/>
      <c r="HG5" s="167">
        <v>520926</v>
      </c>
      <c r="HH5" s="167">
        <v>857153</v>
      </c>
      <c r="HI5" s="157"/>
      <c r="HJ5" s="157"/>
      <c r="HK5" s="157"/>
      <c r="HL5" s="157"/>
      <c r="HM5" s="157"/>
      <c r="HN5" s="157"/>
      <c r="HO5" s="157"/>
      <c r="HP5" s="157"/>
      <c r="HQ5" s="157"/>
      <c r="HR5" s="157"/>
      <c r="HS5" s="157"/>
      <c r="HT5" s="157"/>
      <c r="HU5" s="157"/>
      <c r="HV5" s="157"/>
      <c r="HW5" s="157"/>
      <c r="HX5" s="157"/>
      <c r="HY5" s="157"/>
      <c r="HZ5" s="157"/>
      <c r="IA5" s="157"/>
      <c r="IB5" s="157"/>
      <c r="IC5" s="157"/>
      <c r="ID5" s="157"/>
      <c r="IE5" s="157"/>
      <c r="IF5" s="157"/>
      <c r="IG5" s="157"/>
      <c r="IH5" s="157"/>
      <c r="II5" s="157"/>
      <c r="IJ5" s="157"/>
      <c r="IK5" s="157"/>
      <c r="IL5" s="157"/>
      <c r="IM5" s="157"/>
      <c r="IN5" s="157"/>
      <c r="IO5" s="157"/>
      <c r="IP5" s="157"/>
      <c r="IQ5" s="157"/>
      <c r="IR5" s="157"/>
      <c r="IS5" s="157"/>
      <c r="IT5" s="157"/>
      <c r="IU5" s="157"/>
      <c r="IV5" s="157"/>
      <c r="IW5" s="157"/>
      <c r="IX5" s="157"/>
      <c r="IY5" s="157"/>
      <c r="IZ5" s="157"/>
      <c r="JA5" s="157"/>
      <c r="JB5" s="157"/>
      <c r="JC5" s="157"/>
      <c r="JD5" s="157"/>
      <c r="JE5" s="157"/>
      <c r="JF5" s="157"/>
      <c r="JG5" s="157"/>
      <c r="JH5" s="157"/>
      <c r="JI5" s="157"/>
      <c r="JJ5" s="157"/>
      <c r="JK5" s="157"/>
      <c r="JL5" s="157"/>
      <c r="JM5" s="157"/>
      <c r="JN5" s="157"/>
      <c r="JO5" s="157"/>
      <c r="JP5" s="157"/>
      <c r="JQ5" s="157"/>
      <c r="JR5" s="157"/>
      <c r="JS5" s="157"/>
      <c r="JT5" s="157"/>
      <c r="JU5" s="157"/>
      <c r="JV5" s="157"/>
      <c r="JW5" s="157"/>
      <c r="JX5" s="157"/>
      <c r="JY5" s="157"/>
      <c r="JZ5" s="157"/>
      <c r="KA5" s="157"/>
      <c r="KB5" s="157"/>
      <c r="KC5" s="157"/>
      <c r="KD5" s="157"/>
      <c r="KE5" s="157"/>
      <c r="KF5" s="157"/>
      <c r="KG5" s="157"/>
      <c r="KH5" s="157"/>
      <c r="KI5" s="157"/>
      <c r="KJ5" s="157"/>
      <c r="KK5" s="157"/>
      <c r="KL5" s="157"/>
    </row>
    <row r="6" spans="1:298">
      <c r="A6" s="471" t="s">
        <v>25</v>
      </c>
      <c r="B6" s="66"/>
      <c r="C6" s="667">
        <f>('[3]segmenty prez'!$C$35)*1000</f>
        <v>92000</v>
      </c>
      <c r="D6" s="667">
        <f>('[3]segmenty prez'!$C$71)*1000</f>
        <v>166000</v>
      </c>
      <c r="E6" s="666"/>
      <c r="F6" s="667">
        <f>('[3]segmenty 3 m-ce PREZ'!$C$25)*1000</f>
        <v>39000</v>
      </c>
      <c r="G6" s="667">
        <f>('[3]segmenty 3 m-ce PREZ'!$C$54)*1000</f>
        <v>89000</v>
      </c>
      <c r="H6" s="66"/>
      <c r="I6" s="667">
        <v>53000</v>
      </c>
      <c r="J6" s="667">
        <v>77000</v>
      </c>
      <c r="K6" s="666"/>
      <c r="L6" s="667">
        <v>33000</v>
      </c>
      <c r="M6" s="667">
        <v>40000</v>
      </c>
      <c r="N6" s="666"/>
      <c r="O6" s="667"/>
      <c r="P6" s="667"/>
      <c r="Q6" s="666"/>
      <c r="R6" s="667"/>
      <c r="S6" s="667"/>
      <c r="T6" s="666"/>
      <c r="U6" s="667"/>
      <c r="V6" s="667"/>
      <c r="W6" s="666"/>
      <c r="X6" s="610"/>
      <c r="Y6" s="610"/>
      <c r="Z6" s="624"/>
      <c r="AA6" s="610"/>
      <c r="AB6" s="610"/>
      <c r="AC6" s="624"/>
      <c r="AD6" s="610"/>
      <c r="AE6" s="610"/>
      <c r="AF6" s="624"/>
      <c r="AG6" s="610"/>
      <c r="AH6" s="610"/>
      <c r="AI6" s="624"/>
      <c r="AJ6" s="610"/>
      <c r="AK6" s="625"/>
      <c r="AL6" s="624"/>
      <c r="AM6" s="610"/>
      <c r="AN6" s="610"/>
      <c r="AO6" s="624"/>
      <c r="AP6" s="467"/>
      <c r="AQ6" s="473"/>
      <c r="AR6" s="66"/>
      <c r="AS6" s="467"/>
      <c r="AT6" s="473"/>
      <c r="AU6" s="66"/>
      <c r="AV6" s="467"/>
      <c r="AW6" s="473"/>
      <c r="AX6" s="66"/>
      <c r="AY6" s="467"/>
      <c r="AZ6" s="473"/>
      <c r="BA6" s="66"/>
      <c r="BB6" s="467"/>
      <c r="BC6" s="473"/>
      <c r="BD6" s="178"/>
      <c r="BE6" s="467"/>
      <c r="BF6" s="473"/>
      <c r="BG6" s="178"/>
      <c r="BH6" s="467"/>
      <c r="BI6" s="473"/>
      <c r="BJ6" s="178"/>
      <c r="BK6" s="467"/>
      <c r="BL6" s="473"/>
      <c r="BM6" s="178"/>
      <c r="BN6" s="467"/>
      <c r="BO6" s="473"/>
      <c r="BP6" s="178"/>
      <c r="BQ6" s="467"/>
      <c r="BR6" s="473"/>
      <c r="BS6" s="178"/>
      <c r="BT6" s="467"/>
      <c r="BU6" s="473"/>
      <c r="BV6" s="178"/>
      <c r="BW6" s="467"/>
      <c r="BX6" s="473"/>
      <c r="BY6" s="178"/>
      <c r="BZ6" s="467"/>
      <c r="CA6" s="473"/>
      <c r="CB6" s="178"/>
      <c r="CC6" s="467"/>
      <c r="CD6" s="467"/>
      <c r="CE6" s="178"/>
      <c r="CF6" s="467"/>
      <c r="CG6" s="473"/>
      <c r="CH6" s="178"/>
      <c r="CI6" s="467"/>
      <c r="CJ6" s="467"/>
      <c r="CK6" s="178"/>
      <c r="CL6" s="467"/>
      <c r="CM6" s="473"/>
      <c r="CN6" s="178"/>
      <c r="CO6" s="467"/>
      <c r="CP6" s="473"/>
      <c r="CQ6" s="178"/>
      <c r="CR6" s="467"/>
      <c r="CS6" s="473"/>
      <c r="CT6" s="178"/>
      <c r="CU6" s="341"/>
      <c r="CV6" s="144"/>
      <c r="CW6" s="366"/>
      <c r="CX6" s="341"/>
      <c r="CY6" s="144"/>
      <c r="CZ6" s="366"/>
      <c r="DA6" s="341"/>
      <c r="DB6" s="144"/>
      <c r="DC6" s="366"/>
      <c r="DD6" s="341"/>
      <c r="DE6" s="144"/>
      <c r="DF6" s="366"/>
      <c r="DG6" s="366"/>
      <c r="DH6" s="341"/>
      <c r="DI6" s="144"/>
      <c r="DJ6" s="366"/>
      <c r="DK6" s="341"/>
      <c r="DL6" s="144"/>
      <c r="DM6" s="366"/>
      <c r="DN6" s="341"/>
      <c r="DO6" s="144"/>
      <c r="DP6" s="366"/>
      <c r="DQ6" s="341"/>
      <c r="DR6" s="144"/>
      <c r="DS6" s="366"/>
      <c r="DT6" s="341"/>
      <c r="DU6" s="144"/>
      <c r="DV6" s="366"/>
      <c r="DW6" s="341"/>
      <c r="DX6" s="144"/>
      <c r="DY6" s="366"/>
      <c r="DZ6" s="341"/>
      <c r="EA6" s="144"/>
      <c r="EB6" s="366"/>
      <c r="EC6" s="341"/>
      <c r="ED6" s="144"/>
      <c r="EE6" s="366"/>
      <c r="EF6" s="341"/>
      <c r="EG6" s="144"/>
      <c r="EH6" s="366"/>
      <c r="EI6" s="341"/>
      <c r="EJ6" s="144"/>
      <c r="EK6" s="366"/>
      <c r="EL6" s="341"/>
      <c r="EM6" s="144"/>
      <c r="EN6" s="366"/>
      <c r="EO6" s="341"/>
      <c r="EP6" s="144"/>
      <c r="EQ6" s="366"/>
      <c r="ER6" s="341"/>
      <c r="ES6" s="144"/>
      <c r="ET6" s="366"/>
      <c r="EU6" s="341"/>
      <c r="EV6" s="144"/>
      <c r="EW6" s="366"/>
      <c r="EX6" s="341"/>
      <c r="EY6" s="144"/>
      <c r="EZ6" s="163"/>
      <c r="FA6" s="166"/>
      <c r="FB6" s="156"/>
      <c r="FC6" s="163"/>
      <c r="FD6" s="166"/>
      <c r="FE6" s="156"/>
      <c r="FF6" s="163"/>
      <c r="FG6" s="166"/>
      <c r="FH6" s="156"/>
      <c r="FI6" s="163"/>
      <c r="FJ6" s="166"/>
      <c r="FK6" s="156"/>
      <c r="FL6" s="163"/>
      <c r="FM6" s="166"/>
      <c r="FN6" s="156"/>
      <c r="FO6" s="163"/>
      <c r="FP6" s="166"/>
      <c r="FQ6" s="156"/>
      <c r="FR6" s="163"/>
      <c r="FS6" s="166"/>
      <c r="FT6" s="156"/>
      <c r="FU6" s="163"/>
      <c r="FV6" s="166"/>
      <c r="FW6" s="156"/>
      <c r="FX6" s="163"/>
      <c r="FY6" s="166"/>
      <c r="FZ6" s="156"/>
      <c r="GA6" s="163"/>
      <c r="GB6" s="166"/>
      <c r="GC6" s="156"/>
      <c r="GD6" s="163"/>
      <c r="GE6" s="166"/>
      <c r="GF6" s="156"/>
      <c r="GG6" s="163"/>
      <c r="GH6" s="156"/>
      <c r="GI6" s="156"/>
      <c r="GJ6" s="157"/>
      <c r="GK6" s="156"/>
      <c r="GL6" s="156"/>
      <c r="GM6" s="157"/>
      <c r="GN6" s="156"/>
      <c r="GO6" s="156"/>
      <c r="GP6" s="157"/>
      <c r="GQ6" s="156"/>
      <c r="GR6" s="156"/>
      <c r="GS6" s="157"/>
      <c r="GT6" s="156"/>
      <c r="GU6" s="156"/>
      <c r="GV6" s="157"/>
      <c r="GW6" s="163"/>
      <c r="GX6" s="156"/>
      <c r="GY6" s="156"/>
      <c r="GZ6" s="157"/>
      <c r="HA6" s="156"/>
      <c r="HB6" s="156"/>
      <c r="HC6" s="157"/>
      <c r="HD6" s="156"/>
      <c r="HE6" s="156"/>
      <c r="HF6" s="157"/>
      <c r="HG6" s="167"/>
      <c r="HH6" s="167"/>
      <c r="HI6" s="157"/>
      <c r="HJ6" s="157"/>
      <c r="HK6" s="157"/>
      <c r="HL6" s="157"/>
      <c r="HM6" s="157"/>
      <c r="HN6" s="157"/>
      <c r="HO6" s="157"/>
      <c r="HP6" s="157"/>
      <c r="HQ6" s="157"/>
      <c r="HR6" s="157"/>
      <c r="HS6" s="157"/>
      <c r="HT6" s="157"/>
      <c r="HU6" s="157"/>
      <c r="HV6" s="157"/>
      <c r="HW6" s="157"/>
      <c r="HX6" s="157"/>
      <c r="HY6" s="157"/>
      <c r="HZ6" s="157"/>
      <c r="IA6" s="157"/>
      <c r="IB6" s="157"/>
      <c r="IC6" s="157"/>
      <c r="ID6" s="157"/>
      <c r="IE6" s="157"/>
      <c r="IF6" s="157"/>
      <c r="IG6" s="157"/>
      <c r="IH6" s="157"/>
      <c r="II6" s="157"/>
      <c r="IJ6" s="157"/>
      <c r="IK6" s="157"/>
      <c r="IL6" s="157"/>
      <c r="IM6" s="157"/>
      <c r="IN6" s="157"/>
      <c r="IO6" s="157"/>
      <c r="IP6" s="157"/>
      <c r="IQ6" s="157"/>
      <c r="IR6" s="157"/>
      <c r="IS6" s="157"/>
      <c r="IT6" s="157"/>
      <c r="IU6" s="157"/>
      <c r="IV6" s="157"/>
      <c r="IW6" s="157"/>
      <c r="IX6" s="157"/>
      <c r="IY6" s="157"/>
      <c r="IZ6" s="157"/>
      <c r="JA6" s="157"/>
      <c r="JB6" s="157"/>
      <c r="JC6" s="157"/>
      <c r="JD6" s="157"/>
      <c r="JE6" s="157"/>
      <c r="JF6" s="157"/>
      <c r="JG6" s="157"/>
      <c r="JH6" s="157"/>
      <c r="JI6" s="157"/>
      <c r="JJ6" s="157"/>
      <c r="JK6" s="157"/>
      <c r="JL6" s="157"/>
      <c r="JM6" s="157"/>
      <c r="JN6" s="157"/>
      <c r="JO6" s="157"/>
      <c r="JP6" s="157"/>
      <c r="JQ6" s="157"/>
      <c r="JR6" s="157"/>
      <c r="JS6" s="157"/>
      <c r="JT6" s="157"/>
      <c r="JU6" s="157"/>
      <c r="JV6" s="157"/>
      <c r="JW6" s="157"/>
      <c r="JX6" s="157"/>
      <c r="JY6" s="157"/>
      <c r="JZ6" s="157"/>
      <c r="KA6" s="157"/>
      <c r="KB6" s="157"/>
      <c r="KC6" s="157"/>
      <c r="KD6" s="157"/>
      <c r="KE6" s="157"/>
      <c r="KF6" s="157"/>
      <c r="KG6" s="157"/>
      <c r="KH6" s="157"/>
      <c r="KI6" s="157"/>
      <c r="KJ6" s="157"/>
      <c r="KK6" s="157"/>
      <c r="KL6" s="157"/>
    </row>
    <row r="7" spans="1:298">
      <c r="A7" s="472" t="s">
        <v>583</v>
      </c>
      <c r="B7" s="66"/>
      <c r="C7" s="667">
        <f>('[3]segmenty prez'!$D$35)*1000</f>
        <v>1141000</v>
      </c>
      <c r="D7" s="667">
        <f>('[3]segmenty prez'!$D$71)*1000</f>
        <v>396000</v>
      </c>
      <c r="E7" s="666"/>
      <c r="F7" s="667">
        <f>('[3]segmenty 3 m-ce PREZ'!$D$25)*1000</f>
        <v>909000</v>
      </c>
      <c r="G7" s="667">
        <f>('[3]segmenty 3 m-ce PREZ'!$D$54)*1000</f>
        <v>86000</v>
      </c>
      <c r="H7" s="66"/>
      <c r="I7" s="667">
        <v>232000</v>
      </c>
      <c r="J7" s="667">
        <v>310000</v>
      </c>
      <c r="K7" s="666"/>
      <c r="L7" s="667">
        <v>133000</v>
      </c>
      <c r="M7" s="667">
        <v>235000</v>
      </c>
      <c r="N7" s="666"/>
      <c r="O7" s="667">
        <f>[4]segmenty!$C$37*1000</f>
        <v>99000</v>
      </c>
      <c r="P7" s="667">
        <f>[4]segmenty!$C$75*1000</f>
        <v>75000</v>
      </c>
      <c r="Q7" s="666"/>
      <c r="R7" s="667">
        <f>([5]segmenty!$C$37)*1000</f>
        <v>593000</v>
      </c>
      <c r="S7" s="667">
        <f>([5]segmenty!$C$76)*1000</f>
        <v>459000</v>
      </c>
      <c r="T7" s="666"/>
      <c r="U7" s="667">
        <f t="shared" si="11"/>
        <v>197000</v>
      </c>
      <c r="V7" s="667">
        <f t="shared" si="11"/>
        <v>165000</v>
      </c>
      <c r="W7" s="666"/>
      <c r="X7" s="610">
        <f>([6]segmenty!$C$37)*1000</f>
        <v>396000</v>
      </c>
      <c r="Y7" s="610">
        <f>([6]segmenty!$C$76)*1000</f>
        <v>294000</v>
      </c>
      <c r="Z7" s="624"/>
      <c r="AA7" s="610">
        <f>('[6]segmenty 3 m-ce PREZ'!$C$25)*1000</f>
        <v>86000</v>
      </c>
      <c r="AB7" s="610">
        <f>('[6]segmenty 3 m-ce PREZ'!$C$55)*1000</f>
        <v>201000</v>
      </c>
      <c r="AC7" s="624"/>
      <c r="AD7" s="610">
        <f>[7]segmenty!$C$37*1000</f>
        <v>310000</v>
      </c>
      <c r="AE7" s="610">
        <f>[7]segmenty!$C$75*1000</f>
        <v>93000</v>
      </c>
      <c r="AF7" s="624"/>
      <c r="AG7" s="610">
        <f>('[7]segmenty 3 m-ce PREZ'!$C$25)*1000</f>
        <v>235000</v>
      </c>
      <c r="AH7" s="610">
        <f>('[7]segmenty 3 m-ce PREZ'!$C$54)*1000</f>
        <v>72000</v>
      </c>
      <c r="AI7" s="624"/>
      <c r="AJ7" s="610">
        <f t="shared" si="12"/>
        <v>165000</v>
      </c>
      <c r="AK7" s="625">
        <f t="shared" si="12"/>
        <v>41000</v>
      </c>
      <c r="AL7" s="624"/>
      <c r="AM7" s="610">
        <v>459000</v>
      </c>
      <c r="AN7" s="610">
        <v>90000</v>
      </c>
      <c r="AO7" s="624"/>
      <c r="AP7" s="467">
        <v>201000</v>
      </c>
      <c r="AQ7" s="473">
        <v>29000</v>
      </c>
      <c r="AR7" s="66"/>
      <c r="AS7" s="467">
        <v>294000</v>
      </c>
      <c r="AT7" s="473">
        <v>49000</v>
      </c>
      <c r="AU7" s="66"/>
      <c r="AV7" s="467">
        <f t="shared" si="0"/>
        <v>72000</v>
      </c>
      <c r="AW7" s="473">
        <f t="shared" si="0"/>
        <v>15000</v>
      </c>
      <c r="AX7" s="66"/>
      <c r="AY7" s="467">
        <v>93000</v>
      </c>
      <c r="AZ7" s="473">
        <v>20000</v>
      </c>
      <c r="BA7" s="66"/>
      <c r="BB7" s="467">
        <v>21000</v>
      </c>
      <c r="BC7" s="473">
        <v>5000</v>
      </c>
      <c r="BD7" s="178"/>
      <c r="BE7" s="467">
        <f t="shared" si="1"/>
        <v>41417</v>
      </c>
      <c r="BF7" s="473">
        <f t="shared" si="2"/>
        <v>32939</v>
      </c>
      <c r="BG7" s="178"/>
      <c r="BH7" s="467">
        <v>90000</v>
      </c>
      <c r="BI7" s="473">
        <v>40000</v>
      </c>
      <c r="BJ7" s="178"/>
      <c r="BK7" s="467">
        <f t="shared" si="3"/>
        <v>28480</v>
      </c>
      <c r="BL7" s="473">
        <f t="shared" si="3"/>
        <v>1520</v>
      </c>
      <c r="BM7" s="178"/>
      <c r="BN7" s="467">
        <v>48583</v>
      </c>
      <c r="BO7" s="473">
        <v>7061</v>
      </c>
      <c r="BP7" s="178"/>
      <c r="BQ7" s="467">
        <f t="shared" si="4"/>
        <v>15417</v>
      </c>
      <c r="BR7" s="473">
        <f t="shared" si="4"/>
        <v>4370</v>
      </c>
      <c r="BS7" s="178"/>
      <c r="BT7" s="467">
        <v>20103</v>
      </c>
      <c r="BU7" s="473">
        <v>5541</v>
      </c>
      <c r="BV7" s="178"/>
      <c r="BW7" s="467">
        <v>4686</v>
      </c>
      <c r="BX7" s="473">
        <v>1171</v>
      </c>
      <c r="BY7" s="178"/>
      <c r="BZ7" s="467">
        <f t="shared" si="5"/>
        <v>32605</v>
      </c>
      <c r="CA7" s="473">
        <f t="shared" si="6"/>
        <v>6836</v>
      </c>
      <c r="CB7" s="178"/>
      <c r="CC7" s="467">
        <v>39666</v>
      </c>
      <c r="CD7" s="467">
        <v>13885</v>
      </c>
      <c r="CE7" s="178"/>
      <c r="CF7" s="467">
        <f t="shared" si="7"/>
        <v>1520</v>
      </c>
      <c r="CG7" s="473">
        <f t="shared" si="7"/>
        <v>3189</v>
      </c>
      <c r="CH7" s="178"/>
      <c r="CI7" s="467">
        <v>7061</v>
      </c>
      <c r="CJ7" s="467">
        <v>7049</v>
      </c>
      <c r="CK7" s="178"/>
      <c r="CL7" s="467">
        <f t="shared" si="8"/>
        <v>4370</v>
      </c>
      <c r="CM7" s="473">
        <f t="shared" si="9"/>
        <v>2629</v>
      </c>
      <c r="CN7" s="178"/>
      <c r="CO7" s="467">
        <v>5541</v>
      </c>
      <c r="CP7" s="473">
        <v>3860</v>
      </c>
      <c r="CQ7" s="178"/>
      <c r="CR7" s="467">
        <v>1171</v>
      </c>
      <c r="CS7" s="473">
        <v>1231</v>
      </c>
      <c r="CT7" s="178"/>
      <c r="CU7" s="341"/>
      <c r="CV7" s="144"/>
      <c r="CW7" s="366"/>
      <c r="CX7" s="341"/>
      <c r="CY7" s="144"/>
      <c r="CZ7" s="366"/>
      <c r="DA7" s="341"/>
      <c r="DB7" s="144"/>
      <c r="DC7" s="366"/>
      <c r="DD7" s="341"/>
      <c r="DE7" s="144"/>
      <c r="DF7" s="366"/>
      <c r="DG7" s="366"/>
      <c r="DH7" s="341"/>
      <c r="DI7" s="144"/>
      <c r="DJ7" s="366"/>
      <c r="DK7" s="341"/>
      <c r="DL7" s="144"/>
      <c r="DM7" s="366"/>
      <c r="DN7" s="341"/>
      <c r="DO7" s="144"/>
      <c r="DP7" s="366"/>
      <c r="DQ7" s="341"/>
      <c r="DR7" s="144"/>
      <c r="DS7" s="366"/>
      <c r="DT7" s="341"/>
      <c r="DU7" s="144"/>
      <c r="DV7" s="366"/>
      <c r="DW7" s="341"/>
      <c r="DX7" s="144"/>
      <c r="DY7" s="366"/>
      <c r="DZ7" s="341"/>
      <c r="EA7" s="144"/>
      <c r="EB7" s="366"/>
      <c r="EC7" s="341"/>
      <c r="ED7" s="144"/>
      <c r="EE7" s="366"/>
      <c r="EF7" s="341"/>
      <c r="EG7" s="144"/>
      <c r="EH7" s="366"/>
      <c r="EI7" s="341"/>
      <c r="EJ7" s="144"/>
      <c r="EK7" s="366"/>
      <c r="EL7" s="341"/>
      <c r="EM7" s="144"/>
      <c r="EN7" s="366"/>
      <c r="EO7" s="341"/>
      <c r="EP7" s="144"/>
      <c r="EQ7" s="366"/>
      <c r="ER7" s="341"/>
      <c r="ES7" s="144"/>
      <c r="ET7" s="366"/>
      <c r="EU7" s="341"/>
      <c r="EV7" s="144"/>
      <c r="EW7" s="366"/>
      <c r="EX7" s="341"/>
      <c r="EY7" s="144"/>
      <c r="EZ7" s="163"/>
      <c r="FA7" s="166"/>
      <c r="FB7" s="156"/>
      <c r="FC7" s="163"/>
      <c r="FD7" s="166"/>
      <c r="FE7" s="156"/>
      <c r="FF7" s="163"/>
      <c r="FG7" s="166"/>
      <c r="FH7" s="156"/>
      <c r="FI7" s="163"/>
      <c r="FJ7" s="166"/>
      <c r="FK7" s="156"/>
      <c r="FL7" s="163"/>
      <c r="FM7" s="166"/>
      <c r="FN7" s="156"/>
      <c r="FO7" s="163"/>
      <c r="FP7" s="166"/>
      <c r="FQ7" s="156"/>
      <c r="FR7" s="163"/>
      <c r="FS7" s="166"/>
      <c r="FT7" s="156"/>
      <c r="FU7" s="163"/>
      <c r="FV7" s="166"/>
      <c r="FW7" s="156"/>
      <c r="FX7" s="163"/>
      <c r="FY7" s="166"/>
      <c r="FZ7" s="156"/>
      <c r="GA7" s="163"/>
      <c r="GB7" s="166"/>
      <c r="GC7" s="156"/>
      <c r="GD7" s="163"/>
      <c r="GE7" s="166"/>
      <c r="GF7" s="156"/>
      <c r="GG7" s="163"/>
      <c r="GH7" s="156"/>
      <c r="GI7" s="156"/>
      <c r="GJ7" s="157"/>
      <c r="GK7" s="156"/>
      <c r="GL7" s="156"/>
      <c r="GM7" s="157"/>
      <c r="GN7" s="156"/>
      <c r="GO7" s="156"/>
      <c r="GP7" s="157"/>
      <c r="GQ7" s="156"/>
      <c r="GR7" s="156"/>
      <c r="GS7" s="157"/>
      <c r="GT7" s="156"/>
      <c r="GU7" s="156"/>
      <c r="GV7" s="157"/>
      <c r="GW7" s="163"/>
      <c r="GX7" s="156"/>
      <c r="GY7" s="156"/>
      <c r="GZ7" s="157"/>
      <c r="HA7" s="156"/>
      <c r="HB7" s="156"/>
      <c r="HC7" s="157"/>
      <c r="HD7" s="156"/>
      <c r="HE7" s="156"/>
      <c r="HF7" s="157"/>
      <c r="HG7" s="167"/>
      <c r="HH7" s="167"/>
      <c r="HI7" s="157"/>
      <c r="HJ7" s="157"/>
      <c r="HK7" s="157"/>
      <c r="HL7" s="157"/>
      <c r="HM7" s="157"/>
      <c r="HN7" s="157"/>
      <c r="HO7" s="157"/>
      <c r="HP7" s="157"/>
      <c r="HQ7" s="157"/>
      <c r="HR7" s="157"/>
      <c r="HS7" s="157"/>
      <c r="HT7" s="157"/>
      <c r="HU7" s="157"/>
      <c r="HV7" s="157"/>
      <c r="HW7" s="157"/>
      <c r="HX7" s="157"/>
      <c r="HY7" s="157"/>
      <c r="HZ7" s="157"/>
      <c r="IA7" s="157"/>
      <c r="IB7" s="157"/>
      <c r="IC7" s="157"/>
      <c r="ID7" s="157"/>
      <c r="IE7" s="157"/>
      <c r="IF7" s="157"/>
      <c r="IG7" s="157"/>
      <c r="IH7" s="157"/>
      <c r="II7" s="157"/>
      <c r="IJ7" s="157"/>
      <c r="IK7" s="157"/>
      <c r="IL7" s="157"/>
      <c r="IM7" s="157"/>
      <c r="IN7" s="157"/>
      <c r="IO7" s="157"/>
      <c r="IP7" s="157"/>
      <c r="IQ7" s="157"/>
      <c r="IR7" s="157"/>
      <c r="IS7" s="157"/>
      <c r="IT7" s="157"/>
      <c r="IU7" s="157"/>
      <c r="IV7" s="157"/>
      <c r="IW7" s="157"/>
      <c r="IX7" s="157"/>
      <c r="IY7" s="157"/>
      <c r="IZ7" s="157"/>
      <c r="JA7" s="157"/>
      <c r="JB7" s="157"/>
      <c r="JC7" s="157"/>
      <c r="JD7" s="157"/>
      <c r="JE7" s="157"/>
      <c r="JF7" s="157"/>
      <c r="JG7" s="157"/>
      <c r="JH7" s="157"/>
      <c r="JI7" s="157"/>
      <c r="JJ7" s="157"/>
      <c r="JK7" s="157"/>
      <c r="JL7" s="157"/>
      <c r="JM7" s="157"/>
      <c r="JN7" s="157"/>
      <c r="JO7" s="157"/>
      <c r="JP7" s="157"/>
      <c r="JQ7" s="157"/>
      <c r="JR7" s="157"/>
      <c r="JS7" s="157"/>
      <c r="JT7" s="157"/>
      <c r="JU7" s="157"/>
      <c r="JV7" s="157"/>
      <c r="JW7" s="157"/>
      <c r="JX7" s="157"/>
      <c r="JY7" s="157"/>
      <c r="JZ7" s="157"/>
      <c r="KA7" s="157"/>
      <c r="KB7" s="157"/>
      <c r="KC7" s="157"/>
      <c r="KD7" s="157"/>
      <c r="KE7" s="157"/>
      <c r="KF7" s="157"/>
      <c r="KG7" s="157"/>
      <c r="KH7" s="157"/>
      <c r="KI7" s="157"/>
      <c r="KJ7" s="157"/>
      <c r="KK7" s="157"/>
      <c r="KL7" s="157"/>
    </row>
    <row r="8" spans="1:298">
      <c r="A8" s="66" t="s">
        <v>85</v>
      </c>
      <c r="B8" s="66"/>
      <c r="C8" s="668">
        <f>('[3]segmenty prez'!$E$35)*1000</f>
        <v>2164000</v>
      </c>
      <c r="D8" s="668">
        <f>('[3]segmenty prez'!$E$71)*1000</f>
        <v>1896000</v>
      </c>
      <c r="E8" s="666"/>
      <c r="F8" s="668">
        <f>('[3]segmenty 3 m-ce PREZ'!$E$25)*1000</f>
        <v>764000</v>
      </c>
      <c r="G8" s="668">
        <f>('[3]segmenty 3 m-ce PREZ'!$E$54)*1000</f>
        <v>676000</v>
      </c>
      <c r="H8" s="66"/>
      <c r="I8" s="668">
        <v>1400000</v>
      </c>
      <c r="J8" s="668">
        <v>1220000</v>
      </c>
      <c r="K8" s="666"/>
      <c r="L8" s="668">
        <v>743000</v>
      </c>
      <c r="M8" s="668">
        <v>646000</v>
      </c>
      <c r="N8" s="666"/>
      <c r="O8" s="668">
        <f>[4]segmenty!$D$37*1000</f>
        <v>657000</v>
      </c>
      <c r="P8" s="668">
        <f>[4]segmenty!$D$75*1000</f>
        <v>574000</v>
      </c>
      <c r="Q8" s="666"/>
      <c r="R8" s="668">
        <f>([5]segmenty!$D$37)*1000</f>
        <v>2762000</v>
      </c>
      <c r="S8" s="668">
        <f>([5]segmenty!$D$76)*1000</f>
        <v>2137000</v>
      </c>
      <c r="T8" s="666"/>
      <c r="U8" s="668">
        <f t="shared" si="11"/>
        <v>866000</v>
      </c>
      <c r="V8" s="668">
        <f t="shared" si="11"/>
        <v>699000</v>
      </c>
      <c r="W8" s="666"/>
      <c r="X8" s="609">
        <f>([6]segmenty!$D$37)*1000</f>
        <v>1896000</v>
      </c>
      <c r="Y8" s="609">
        <f>([6]segmenty!$D$76)*1000</f>
        <v>1438000</v>
      </c>
      <c r="Z8" s="624"/>
      <c r="AA8" s="609">
        <f>('[6]segmenty 3 m-ce PREZ'!$D$25)*1000</f>
        <v>676000</v>
      </c>
      <c r="AB8" s="609">
        <f>('[6]segmenty 3 m-ce PREZ'!$D$55)*1000</f>
        <v>560000</v>
      </c>
      <c r="AC8" s="624"/>
      <c r="AD8" s="609">
        <f>[7]segmenty!$D$37*1000</f>
        <v>1220000</v>
      </c>
      <c r="AE8" s="609">
        <f>[7]segmenty!$D$75*1000</f>
        <v>878000</v>
      </c>
      <c r="AF8" s="624"/>
      <c r="AG8" s="609">
        <f>('[7]segmenty 3 m-ce PREZ'!$D$25)*1000</f>
        <v>646000</v>
      </c>
      <c r="AH8" s="609">
        <f>('[7]segmenty 3 m-ce PREZ'!$D$54)*1000</f>
        <v>472000</v>
      </c>
      <c r="AI8" s="624"/>
      <c r="AJ8" s="609">
        <f t="shared" si="12"/>
        <v>699000</v>
      </c>
      <c r="AK8" s="626">
        <f t="shared" si="12"/>
        <v>682000</v>
      </c>
      <c r="AL8" s="624"/>
      <c r="AM8" s="609">
        <v>2137000</v>
      </c>
      <c r="AN8" s="609">
        <v>2044000</v>
      </c>
      <c r="AO8" s="624"/>
      <c r="AP8" s="336">
        <v>560000</v>
      </c>
      <c r="AQ8" s="144">
        <v>440000</v>
      </c>
      <c r="AR8" s="66"/>
      <c r="AS8" s="336">
        <v>1438000</v>
      </c>
      <c r="AT8" s="144">
        <v>1362000</v>
      </c>
      <c r="AU8" s="66"/>
      <c r="AV8" s="336">
        <f t="shared" si="0"/>
        <v>472000</v>
      </c>
      <c r="AW8" s="144">
        <f t="shared" si="0"/>
        <v>465000</v>
      </c>
      <c r="AX8" s="66"/>
      <c r="AY8" s="336">
        <v>878000</v>
      </c>
      <c r="AZ8" s="144">
        <v>922000</v>
      </c>
      <c r="BA8" s="66"/>
      <c r="BB8" s="336">
        <v>406000</v>
      </c>
      <c r="BC8" s="144">
        <v>457000</v>
      </c>
      <c r="BD8" s="163"/>
      <c r="BE8" s="336">
        <f t="shared" si="1"/>
        <v>681753</v>
      </c>
      <c r="BF8" s="144">
        <f t="shared" si="2"/>
        <v>592029</v>
      </c>
      <c r="BG8" s="163"/>
      <c r="BH8" s="336">
        <v>2044000</v>
      </c>
      <c r="BI8" s="144">
        <v>1908000</v>
      </c>
      <c r="BJ8" s="163"/>
      <c r="BK8" s="336">
        <f t="shared" si="3"/>
        <v>440616</v>
      </c>
      <c r="BL8" s="144">
        <f t="shared" si="3"/>
        <v>407696</v>
      </c>
      <c r="BM8" s="163"/>
      <c r="BN8" s="336">
        <v>1362247</v>
      </c>
      <c r="BO8" s="144">
        <v>1315971</v>
      </c>
      <c r="BP8" s="163"/>
      <c r="BQ8" s="336">
        <f t="shared" si="4"/>
        <v>464685</v>
      </c>
      <c r="BR8" s="144">
        <f t="shared" si="4"/>
        <v>422939</v>
      </c>
      <c r="BS8" s="163"/>
      <c r="BT8" s="336">
        <v>921631</v>
      </c>
      <c r="BU8" s="144">
        <v>908275</v>
      </c>
      <c r="BV8" s="163"/>
      <c r="BW8" s="336">
        <v>456946</v>
      </c>
      <c r="BX8" s="144">
        <v>485336</v>
      </c>
      <c r="BY8" s="163"/>
      <c r="BZ8" s="336">
        <f t="shared" si="5"/>
        <v>591976</v>
      </c>
      <c r="CA8" s="144">
        <f t="shared" si="6"/>
        <v>454102</v>
      </c>
      <c r="CB8" s="163"/>
      <c r="CC8" s="336">
        <v>1907947</v>
      </c>
      <c r="CD8" s="336">
        <v>1784941</v>
      </c>
      <c r="CE8" s="163"/>
      <c r="CF8" s="336">
        <f t="shared" si="7"/>
        <v>407696</v>
      </c>
      <c r="CG8" s="144">
        <f t="shared" si="7"/>
        <v>468167</v>
      </c>
      <c r="CH8" s="163"/>
      <c r="CI8" s="336">
        <v>1315971</v>
      </c>
      <c r="CJ8" s="336">
        <v>1330839</v>
      </c>
      <c r="CK8" s="163"/>
      <c r="CL8" s="336">
        <f t="shared" si="8"/>
        <v>422939</v>
      </c>
      <c r="CM8" s="144">
        <f t="shared" si="9"/>
        <v>511909</v>
      </c>
      <c r="CN8" s="163"/>
      <c r="CO8" s="336">
        <v>908275</v>
      </c>
      <c r="CP8" s="144">
        <v>862672</v>
      </c>
      <c r="CQ8" s="163"/>
      <c r="CR8" s="336">
        <v>485336</v>
      </c>
      <c r="CS8" s="144">
        <v>350763</v>
      </c>
      <c r="CT8" s="163"/>
      <c r="CU8" s="341">
        <v>1784941</v>
      </c>
      <c r="CV8" s="144">
        <v>2014507</v>
      </c>
      <c r="CW8" s="366"/>
      <c r="CX8" s="341">
        <v>454102</v>
      </c>
      <c r="CY8" s="144">
        <v>827817</v>
      </c>
      <c r="CZ8" s="366"/>
      <c r="DA8" s="341">
        <v>1330839</v>
      </c>
      <c r="DB8" s="144">
        <v>1186690</v>
      </c>
      <c r="DC8" s="366"/>
      <c r="DD8" s="341">
        <v>468167</v>
      </c>
      <c r="DE8" s="144">
        <v>413530</v>
      </c>
      <c r="DF8" s="366"/>
      <c r="DG8" s="366"/>
      <c r="DH8" s="341">
        <v>862672</v>
      </c>
      <c r="DI8" s="144">
        <v>773160</v>
      </c>
      <c r="DJ8" s="366"/>
      <c r="DK8" s="341">
        <v>511909</v>
      </c>
      <c r="DL8" s="144">
        <v>504015</v>
      </c>
      <c r="DM8" s="366"/>
      <c r="DN8" s="341">
        <v>350763</v>
      </c>
      <c r="DO8" s="144">
        <v>269145</v>
      </c>
      <c r="DP8" s="366"/>
      <c r="DQ8" s="341">
        <v>2044029</v>
      </c>
      <c r="DR8" s="144">
        <v>1693016</v>
      </c>
      <c r="DS8" s="366"/>
      <c r="DT8" s="341">
        <f t="shared" si="10"/>
        <v>835089</v>
      </c>
      <c r="DU8" s="144">
        <f t="shared" si="10"/>
        <v>720476</v>
      </c>
      <c r="DV8" s="366"/>
      <c r="DW8" s="341">
        <v>1208940</v>
      </c>
      <c r="DX8" s="144">
        <v>972540</v>
      </c>
      <c r="DY8" s="366"/>
      <c r="DZ8" s="341">
        <v>415462</v>
      </c>
      <c r="EA8" s="144">
        <v>367910</v>
      </c>
      <c r="EB8" s="366"/>
      <c r="EC8" s="341">
        <v>793478</v>
      </c>
      <c r="ED8" s="144">
        <v>604630</v>
      </c>
      <c r="EE8" s="366"/>
      <c r="EF8" s="341">
        <v>519997</v>
      </c>
      <c r="EG8" s="144">
        <v>342543</v>
      </c>
      <c r="EH8" s="366"/>
      <c r="EI8" s="341">
        <v>273481</v>
      </c>
      <c r="EJ8" s="144">
        <v>262087</v>
      </c>
      <c r="EK8" s="366"/>
      <c r="EL8" s="341">
        <v>1693016</v>
      </c>
      <c r="EM8" s="144">
        <v>1806054</v>
      </c>
      <c r="EN8" s="366"/>
      <c r="EO8" s="341">
        <v>720476</v>
      </c>
      <c r="EP8" s="144">
        <v>634676</v>
      </c>
      <c r="EQ8" s="366"/>
      <c r="ER8" s="341">
        <v>972540</v>
      </c>
      <c r="ES8" s="144">
        <v>1171378</v>
      </c>
      <c r="ET8" s="366"/>
      <c r="EU8" s="341">
        <v>367910</v>
      </c>
      <c r="EV8" s="144">
        <v>427039</v>
      </c>
      <c r="EW8" s="366"/>
      <c r="EX8" s="341">
        <v>604630</v>
      </c>
      <c r="EY8" s="144">
        <v>744339</v>
      </c>
      <c r="EZ8" s="163"/>
      <c r="FA8" s="166">
        <v>342543</v>
      </c>
      <c r="FB8" s="156">
        <v>416024</v>
      </c>
      <c r="FC8" s="163"/>
      <c r="FD8" s="166">
        <v>262087</v>
      </c>
      <c r="FE8" s="156">
        <v>328315</v>
      </c>
      <c r="FF8" s="163"/>
      <c r="FG8" s="166">
        <v>1806054</v>
      </c>
      <c r="FH8" s="156">
        <v>1924886</v>
      </c>
      <c r="FI8" s="163"/>
      <c r="FJ8" s="166">
        <v>634676</v>
      </c>
      <c r="FK8" s="156">
        <v>791335</v>
      </c>
      <c r="FL8" s="163"/>
      <c r="FM8" s="166">
        <v>1171378</v>
      </c>
      <c r="FN8" s="156">
        <v>1133551</v>
      </c>
      <c r="FO8" s="163"/>
      <c r="FP8" s="166">
        <v>427039</v>
      </c>
      <c r="FQ8" s="156">
        <v>437305</v>
      </c>
      <c r="FR8" s="163"/>
      <c r="FS8" s="166">
        <v>744339</v>
      </c>
      <c r="FT8" s="156">
        <v>696246</v>
      </c>
      <c r="FU8" s="163"/>
      <c r="FV8" s="166">
        <v>416024</v>
      </c>
      <c r="FW8" s="156">
        <v>410845</v>
      </c>
      <c r="FX8" s="163"/>
      <c r="FY8" s="166">
        <v>328315</v>
      </c>
      <c r="FZ8" s="156">
        <v>285401</v>
      </c>
      <c r="GA8" s="163"/>
      <c r="GB8" s="166">
        <v>1924886</v>
      </c>
      <c r="GC8" s="156">
        <v>1934781</v>
      </c>
      <c r="GD8" s="163"/>
      <c r="GE8" s="166">
        <v>791335</v>
      </c>
      <c r="GF8" s="156">
        <v>648958</v>
      </c>
      <c r="GG8" s="163"/>
      <c r="GH8" s="156">
        <v>1133551</v>
      </c>
      <c r="GI8" s="156">
        <v>1285823</v>
      </c>
      <c r="GJ8" s="157"/>
      <c r="GK8" s="156">
        <v>437305</v>
      </c>
      <c r="GL8" s="156">
        <v>444335</v>
      </c>
      <c r="GM8" s="157"/>
      <c r="GN8" s="156">
        <v>696246</v>
      </c>
      <c r="GO8" s="156">
        <v>841488</v>
      </c>
      <c r="GP8" s="157"/>
      <c r="GQ8" s="156">
        <v>410845</v>
      </c>
      <c r="GR8" s="156">
        <v>461646</v>
      </c>
      <c r="GS8" s="157"/>
      <c r="GT8" s="156">
        <v>285401</v>
      </c>
      <c r="GU8" s="156">
        <v>379842</v>
      </c>
      <c r="GV8" s="157"/>
      <c r="GW8" s="163" t="s">
        <v>23</v>
      </c>
      <c r="GX8" s="156">
        <v>115951</v>
      </c>
      <c r="GY8" s="156">
        <v>606915</v>
      </c>
      <c r="GZ8" s="157"/>
      <c r="HA8" s="156">
        <v>79784</v>
      </c>
      <c r="HB8" s="156">
        <v>438534</v>
      </c>
      <c r="HC8" s="157"/>
      <c r="HD8" s="156">
        <v>57697</v>
      </c>
      <c r="HE8" s="156">
        <v>247822</v>
      </c>
      <c r="HF8" s="157"/>
      <c r="HG8" s="167">
        <v>606915</v>
      </c>
      <c r="HH8" s="167">
        <v>340396</v>
      </c>
      <c r="HI8" s="157"/>
      <c r="HJ8" s="157"/>
      <c r="HK8" s="157"/>
      <c r="HL8" s="157"/>
      <c r="HM8" s="157"/>
      <c r="HN8" s="157"/>
      <c r="HO8" s="157"/>
      <c r="HP8" s="157"/>
      <c r="HQ8" s="157"/>
      <c r="HR8" s="157"/>
      <c r="HS8" s="157"/>
      <c r="HT8" s="157"/>
      <c r="HU8" s="157"/>
      <c r="HV8" s="157"/>
      <c r="HW8" s="157"/>
      <c r="HX8" s="157"/>
      <c r="HY8" s="157"/>
      <c r="HZ8" s="157"/>
      <c r="IA8" s="157"/>
      <c r="IB8" s="157"/>
      <c r="IC8" s="157"/>
      <c r="ID8" s="157"/>
      <c r="IE8" s="157"/>
      <c r="IF8" s="157"/>
      <c r="IG8" s="157"/>
      <c r="IH8" s="157"/>
      <c r="II8" s="157"/>
      <c r="IJ8" s="157"/>
      <c r="IK8" s="157"/>
      <c r="IL8" s="157"/>
      <c r="IM8" s="157"/>
      <c r="IN8" s="157"/>
      <c r="IO8" s="157"/>
      <c r="IP8" s="157"/>
      <c r="IQ8" s="157"/>
      <c r="IR8" s="157"/>
      <c r="IS8" s="157"/>
      <c r="IT8" s="157"/>
      <c r="IU8" s="157"/>
      <c r="IV8" s="157"/>
      <c r="IW8" s="157"/>
      <c r="IX8" s="157"/>
      <c r="IY8" s="157"/>
      <c r="IZ8" s="157"/>
      <c r="JA8" s="157"/>
      <c r="JB8" s="157"/>
      <c r="JC8" s="157"/>
      <c r="JD8" s="157"/>
      <c r="JE8" s="157"/>
      <c r="JF8" s="157"/>
      <c r="JG8" s="157"/>
      <c r="JH8" s="157"/>
      <c r="JI8" s="157"/>
      <c r="JJ8" s="157"/>
      <c r="JK8" s="157"/>
      <c r="JL8" s="157"/>
      <c r="JM8" s="157"/>
      <c r="JN8" s="157"/>
      <c r="JO8" s="157"/>
      <c r="JP8" s="157"/>
      <c r="JQ8" s="157"/>
      <c r="JR8" s="157"/>
      <c r="JS8" s="157"/>
      <c r="JT8" s="157"/>
      <c r="JU8" s="157"/>
      <c r="JV8" s="157"/>
      <c r="JW8" s="157"/>
      <c r="JX8" s="157"/>
      <c r="JY8" s="157"/>
      <c r="JZ8" s="157"/>
      <c r="KA8" s="157"/>
      <c r="KB8" s="157"/>
      <c r="KC8" s="157"/>
      <c r="KD8" s="157"/>
      <c r="KE8" s="157"/>
      <c r="KF8" s="157"/>
      <c r="KG8" s="157"/>
      <c r="KH8" s="157"/>
      <c r="KI8" s="157"/>
      <c r="KJ8" s="157"/>
      <c r="KK8" s="157"/>
      <c r="KL8" s="157"/>
    </row>
    <row r="9" spans="1:298" ht="15.75">
      <c r="A9" s="66" t="s">
        <v>86</v>
      </c>
      <c r="B9" s="66"/>
      <c r="C9" s="668">
        <f>('[3]segmenty prez'!$F$35)*1000</f>
        <v>47000</v>
      </c>
      <c r="D9" s="668">
        <f>('[3]segmenty prez'!$F$71)*1000</f>
        <v>70000</v>
      </c>
      <c r="E9" s="666"/>
      <c r="F9" s="668">
        <f>('[3]segmenty 3 m-ce PREZ'!$F$25)*1000</f>
        <v>16000</v>
      </c>
      <c r="G9" s="668">
        <f>('[3]segmenty 3 m-ce PREZ'!$F$54)*1000</f>
        <v>24000</v>
      </c>
      <c r="H9" s="66"/>
      <c r="I9" s="668">
        <v>31000</v>
      </c>
      <c r="J9" s="668">
        <v>46000</v>
      </c>
      <c r="K9" s="666"/>
      <c r="L9" s="668">
        <v>18000</v>
      </c>
      <c r="M9" s="668">
        <v>22000</v>
      </c>
      <c r="N9" s="666"/>
      <c r="O9" s="668">
        <f>[4]segmenty!$E$37*1000</f>
        <v>13000</v>
      </c>
      <c r="P9" s="668">
        <f>[4]segmenty!$E$75*1000</f>
        <v>24000</v>
      </c>
      <c r="Q9" s="666"/>
      <c r="R9" s="668">
        <f>([5]segmenty!$E$37)*1000</f>
        <v>109000</v>
      </c>
      <c r="S9" s="668">
        <f>([5]segmenty!$E$76)*1000</f>
        <v>75000</v>
      </c>
      <c r="T9" s="666"/>
      <c r="U9" s="668">
        <f t="shared" si="11"/>
        <v>39000</v>
      </c>
      <c r="V9" s="668">
        <f t="shared" si="11"/>
        <v>19000</v>
      </c>
      <c r="W9" s="666"/>
      <c r="X9" s="609">
        <f>([6]segmenty!$E$37)*1000</f>
        <v>70000</v>
      </c>
      <c r="Y9" s="609">
        <f>([6]segmenty!$E$76)*1000</f>
        <v>56000</v>
      </c>
      <c r="Z9" s="624"/>
      <c r="AA9" s="609">
        <f>('[6]segmenty 3 m-ce PREZ'!$E$25)*1000</f>
        <v>24000</v>
      </c>
      <c r="AB9" s="609">
        <f>('[6]segmenty 3 m-ce PREZ'!$E$55)*1000</f>
        <v>20000</v>
      </c>
      <c r="AC9" s="624"/>
      <c r="AD9" s="609">
        <f>[7]segmenty!$E$37*1000</f>
        <v>46000</v>
      </c>
      <c r="AE9" s="609">
        <f>[7]segmenty!$E$75*1000</f>
        <v>36000</v>
      </c>
      <c r="AF9" s="624"/>
      <c r="AG9" s="609">
        <f>('[7]segmenty 3 m-ce PREZ'!$E$25)*1000</f>
        <v>22000</v>
      </c>
      <c r="AH9" s="609">
        <f>('[7]segmenty 3 m-ce PREZ'!$E$54)*1000</f>
        <v>22000</v>
      </c>
      <c r="AI9" s="624"/>
      <c r="AJ9" s="609">
        <f t="shared" si="12"/>
        <v>19000</v>
      </c>
      <c r="AK9" s="626">
        <f t="shared" si="12"/>
        <v>33000</v>
      </c>
      <c r="AL9" s="624"/>
      <c r="AM9" s="609">
        <v>75000</v>
      </c>
      <c r="AN9" s="609">
        <v>82000</v>
      </c>
      <c r="AO9" s="624"/>
      <c r="AP9" s="336">
        <v>20000</v>
      </c>
      <c r="AQ9" s="144">
        <v>22000</v>
      </c>
      <c r="AR9" s="66"/>
      <c r="AS9" s="336">
        <v>56000</v>
      </c>
      <c r="AT9" s="144">
        <v>49000</v>
      </c>
      <c r="AU9" s="66"/>
      <c r="AV9" s="336">
        <f t="shared" si="0"/>
        <v>22000</v>
      </c>
      <c r="AW9" s="144">
        <f t="shared" si="0"/>
        <v>12000</v>
      </c>
      <c r="AX9" s="66"/>
      <c r="AY9" s="336">
        <v>36000</v>
      </c>
      <c r="AZ9" s="144">
        <v>27000</v>
      </c>
      <c r="BA9" s="66"/>
      <c r="BB9" s="336">
        <v>14000</v>
      </c>
      <c r="BC9" s="144">
        <v>15000</v>
      </c>
      <c r="BD9" s="163"/>
      <c r="BE9" s="336">
        <f t="shared" si="1"/>
        <v>32686</v>
      </c>
      <c r="BF9" s="144">
        <f t="shared" si="2"/>
        <v>29751</v>
      </c>
      <c r="BG9" s="163"/>
      <c r="BH9" s="336">
        <v>82000</v>
      </c>
      <c r="BI9" s="144">
        <v>61000</v>
      </c>
      <c r="BJ9" s="163"/>
      <c r="BK9" s="336">
        <f t="shared" si="3"/>
        <v>21859</v>
      </c>
      <c r="BL9" s="144">
        <f t="shared" si="3"/>
        <v>9866</v>
      </c>
      <c r="BM9" s="163"/>
      <c r="BN9" s="336">
        <v>49314</v>
      </c>
      <c r="BO9" s="144">
        <v>31249</v>
      </c>
      <c r="BP9" s="163"/>
      <c r="BQ9" s="336">
        <f t="shared" si="4"/>
        <v>12216</v>
      </c>
      <c r="BR9" s="144">
        <f t="shared" si="4"/>
        <v>9927</v>
      </c>
      <c r="BS9" s="163"/>
      <c r="BT9" s="336">
        <v>27455</v>
      </c>
      <c r="BU9" s="144">
        <v>21383</v>
      </c>
      <c r="BV9" s="163"/>
      <c r="BW9" s="336">
        <v>15239</v>
      </c>
      <c r="BX9" s="144">
        <v>11456</v>
      </c>
      <c r="BY9" s="163"/>
      <c r="BZ9" s="336">
        <f t="shared" si="5"/>
        <v>30082</v>
      </c>
      <c r="CA9" s="144">
        <f t="shared" si="6"/>
        <v>26823</v>
      </c>
      <c r="CB9" s="163"/>
      <c r="CC9" s="336">
        <v>61331</v>
      </c>
      <c r="CD9" s="336">
        <v>47460</v>
      </c>
      <c r="CE9" s="163"/>
      <c r="CF9" s="336">
        <f t="shared" si="7"/>
        <v>9866</v>
      </c>
      <c r="CG9" s="144">
        <f t="shared" si="7"/>
        <v>10387</v>
      </c>
      <c r="CH9" s="163"/>
      <c r="CI9" s="336">
        <v>31249</v>
      </c>
      <c r="CJ9" s="336">
        <v>20637</v>
      </c>
      <c r="CK9" s="163"/>
      <c r="CL9" s="336">
        <f t="shared" si="8"/>
        <v>9927</v>
      </c>
      <c r="CM9" s="144">
        <f t="shared" si="9"/>
        <v>5855</v>
      </c>
      <c r="CN9" s="163"/>
      <c r="CO9" s="336">
        <v>21383</v>
      </c>
      <c r="CP9" s="144">
        <v>10250</v>
      </c>
      <c r="CQ9" s="163"/>
      <c r="CR9" s="336">
        <v>11456</v>
      </c>
      <c r="CS9" s="144">
        <v>4395</v>
      </c>
      <c r="CT9" s="163"/>
      <c r="CU9" s="341">
        <v>47460</v>
      </c>
      <c r="CV9" s="144">
        <v>36947</v>
      </c>
      <c r="CW9" s="366"/>
      <c r="CX9" s="341">
        <v>26823</v>
      </c>
      <c r="CY9" s="144">
        <v>8682</v>
      </c>
      <c r="CZ9" s="366"/>
      <c r="DA9" s="341">
        <v>20637</v>
      </c>
      <c r="DB9" s="144">
        <v>28265</v>
      </c>
      <c r="DC9" s="366"/>
      <c r="DD9" s="341">
        <v>10387</v>
      </c>
      <c r="DE9" s="144">
        <v>3645</v>
      </c>
      <c r="DF9" s="366"/>
      <c r="DG9" s="366"/>
      <c r="DH9" s="341">
        <v>10250</v>
      </c>
      <c r="DI9" s="144">
        <v>24620</v>
      </c>
      <c r="DJ9" s="366"/>
      <c r="DK9" s="341">
        <v>5855</v>
      </c>
      <c r="DL9" s="144">
        <v>20115</v>
      </c>
      <c r="DM9" s="366"/>
      <c r="DN9" s="341">
        <v>4395</v>
      </c>
      <c r="DO9" s="144">
        <v>4505</v>
      </c>
      <c r="DP9" s="366"/>
      <c r="DQ9" s="341">
        <v>7425</v>
      </c>
      <c r="DR9" s="144">
        <v>751</v>
      </c>
      <c r="DS9" s="366"/>
      <c r="DT9" s="341">
        <f t="shared" si="10"/>
        <v>1410</v>
      </c>
      <c r="DU9" s="144">
        <f t="shared" si="10"/>
        <v>163</v>
      </c>
      <c r="DV9" s="366"/>
      <c r="DW9" s="341">
        <v>6015</v>
      </c>
      <c r="DX9" s="144">
        <v>588</v>
      </c>
      <c r="DY9" s="366"/>
      <c r="DZ9" s="341">
        <v>1713</v>
      </c>
      <c r="EA9" s="144">
        <v>6</v>
      </c>
      <c r="EB9" s="366"/>
      <c r="EC9" s="341">
        <v>4302</v>
      </c>
      <c r="ED9" s="144">
        <v>582</v>
      </c>
      <c r="EE9" s="366"/>
      <c r="EF9" s="341">
        <v>4133</v>
      </c>
      <c r="EG9" s="144">
        <v>333</v>
      </c>
      <c r="EH9" s="366"/>
      <c r="EI9" s="341">
        <v>169</v>
      </c>
      <c r="EJ9" s="144">
        <v>249</v>
      </c>
      <c r="EK9" s="366"/>
      <c r="EL9" s="341">
        <v>751</v>
      </c>
      <c r="EM9" s="144">
        <v>1452</v>
      </c>
      <c r="EN9" s="366"/>
      <c r="EO9" s="341">
        <v>163</v>
      </c>
      <c r="EP9" s="144">
        <v>288</v>
      </c>
      <c r="EQ9" s="366"/>
      <c r="ER9" s="341">
        <v>588</v>
      </c>
      <c r="ES9" s="144">
        <v>1164</v>
      </c>
      <c r="ET9" s="366"/>
      <c r="EU9" s="341">
        <v>6</v>
      </c>
      <c r="EV9" s="144">
        <v>407</v>
      </c>
      <c r="EW9" s="366"/>
      <c r="EX9" s="341">
        <v>582</v>
      </c>
      <c r="EY9" s="144">
        <v>757</v>
      </c>
      <c r="EZ9" s="163"/>
      <c r="FA9" s="166">
        <v>333</v>
      </c>
      <c r="FB9" s="156">
        <v>78</v>
      </c>
      <c r="FC9" s="163"/>
      <c r="FD9" s="166">
        <v>249</v>
      </c>
      <c r="FE9" s="156">
        <v>679</v>
      </c>
      <c r="FF9" s="163"/>
      <c r="FG9" s="166">
        <v>1452</v>
      </c>
      <c r="FH9" s="156">
        <v>4604</v>
      </c>
      <c r="FI9" s="163"/>
      <c r="FJ9" s="166">
        <v>288</v>
      </c>
      <c r="FK9" s="156">
        <v>1407</v>
      </c>
      <c r="FL9" s="163"/>
      <c r="FM9" s="166">
        <v>1164</v>
      </c>
      <c r="FN9" s="156">
        <v>3197</v>
      </c>
      <c r="FO9" s="163"/>
      <c r="FP9" s="166">
        <v>407</v>
      </c>
      <c r="FQ9" s="156">
        <v>666</v>
      </c>
      <c r="FR9" s="163"/>
      <c r="FS9" s="166">
        <v>757</v>
      </c>
      <c r="FT9" s="156">
        <v>2531</v>
      </c>
      <c r="FU9" s="163"/>
      <c r="FV9" s="166">
        <v>78</v>
      </c>
      <c r="FW9" s="156">
        <v>893</v>
      </c>
      <c r="FX9" s="163"/>
      <c r="FY9" s="166">
        <v>679</v>
      </c>
      <c r="FZ9" s="156">
        <v>1638</v>
      </c>
      <c r="GA9" s="163"/>
      <c r="GB9" s="166">
        <v>4604</v>
      </c>
      <c r="GC9" s="156">
        <v>5928</v>
      </c>
      <c r="GD9" s="163"/>
      <c r="GE9" s="166">
        <v>1407</v>
      </c>
      <c r="GF9" s="156">
        <v>3719</v>
      </c>
      <c r="GG9" s="163"/>
      <c r="GH9" s="156">
        <v>3197</v>
      </c>
      <c r="GI9" s="156">
        <v>2209</v>
      </c>
      <c r="GJ9" s="157"/>
      <c r="GK9" s="156">
        <v>666</v>
      </c>
      <c r="GL9" s="156">
        <v>1408</v>
      </c>
      <c r="GM9" s="157"/>
      <c r="GN9" s="156">
        <v>2531</v>
      </c>
      <c r="GO9" s="156">
        <v>801</v>
      </c>
      <c r="GP9" s="157"/>
      <c r="GQ9" s="156">
        <v>893</v>
      </c>
      <c r="GR9" s="156">
        <v>689</v>
      </c>
      <c r="GS9" s="157"/>
      <c r="GT9" s="156">
        <v>1638</v>
      </c>
      <c r="GU9" s="156">
        <v>112</v>
      </c>
      <c r="GV9" s="157"/>
      <c r="GW9" s="168" t="s">
        <v>25</v>
      </c>
      <c r="GX9" s="156">
        <v>335575</v>
      </c>
      <c r="GY9" s="156">
        <v>202252</v>
      </c>
      <c r="GZ9" s="157"/>
      <c r="HA9" s="156">
        <v>225479</v>
      </c>
      <c r="HB9" s="156">
        <v>116342</v>
      </c>
      <c r="HC9" s="157"/>
      <c r="HD9" s="156">
        <v>98395</v>
      </c>
      <c r="HE9" s="156">
        <v>50183</v>
      </c>
      <c r="HF9" s="157"/>
      <c r="HG9" s="167">
        <v>202252</v>
      </c>
      <c r="HH9" s="167">
        <v>221763</v>
      </c>
      <c r="HI9" s="157"/>
      <c r="HJ9" s="157"/>
      <c r="HK9" s="157"/>
      <c r="HL9" s="157"/>
      <c r="HM9" s="157"/>
      <c r="HN9" s="157"/>
      <c r="HO9" s="157"/>
      <c r="HP9" s="157"/>
      <c r="HQ9" s="157"/>
      <c r="HR9" s="157"/>
      <c r="HS9" s="157"/>
      <c r="HT9" s="157"/>
      <c r="HU9" s="157"/>
      <c r="HV9" s="157"/>
      <c r="HW9" s="157"/>
      <c r="HX9" s="157"/>
      <c r="HY9" s="157"/>
      <c r="HZ9" s="157"/>
      <c r="IA9" s="157"/>
      <c r="IB9" s="157"/>
      <c r="IC9" s="157"/>
      <c r="ID9" s="157"/>
      <c r="IE9" s="157"/>
      <c r="IF9" s="157"/>
      <c r="IG9" s="157"/>
      <c r="IH9" s="157"/>
      <c r="II9" s="157"/>
      <c r="IJ9" s="157"/>
      <c r="IK9" s="157"/>
      <c r="IL9" s="157"/>
      <c r="IM9" s="157"/>
      <c r="IN9" s="157"/>
      <c r="IO9" s="157"/>
      <c r="IP9" s="157"/>
      <c r="IQ9" s="157"/>
      <c r="IR9" s="157"/>
      <c r="IS9" s="157"/>
      <c r="IT9" s="157"/>
      <c r="IU9" s="157"/>
      <c r="IV9" s="157"/>
      <c r="IW9" s="157"/>
      <c r="IX9" s="157"/>
      <c r="IY9" s="157"/>
      <c r="IZ9" s="157"/>
      <c r="JA9" s="157"/>
      <c r="JB9" s="157"/>
      <c r="JC9" s="157"/>
      <c r="JD9" s="157"/>
      <c r="JE9" s="157"/>
      <c r="JF9" s="157"/>
      <c r="JG9" s="157"/>
      <c r="JH9" s="157"/>
      <c r="JI9" s="157"/>
      <c r="JJ9" s="157"/>
      <c r="JK9" s="157"/>
      <c r="JL9" s="157"/>
      <c r="JM9" s="157"/>
      <c r="JN9" s="157"/>
      <c r="JO9" s="157"/>
      <c r="JP9" s="157"/>
      <c r="JQ9" s="157"/>
      <c r="JR9" s="157"/>
      <c r="JS9" s="157"/>
      <c r="JT9" s="157"/>
      <c r="JU9" s="157"/>
      <c r="JV9" s="157"/>
      <c r="JW9" s="157"/>
      <c r="JX9" s="157"/>
      <c r="JY9" s="157"/>
      <c r="JZ9" s="157"/>
      <c r="KA9" s="157"/>
      <c r="KB9" s="157"/>
      <c r="KC9" s="157"/>
      <c r="KD9" s="157"/>
      <c r="KE9" s="157"/>
      <c r="KF9" s="157"/>
      <c r="KG9" s="157"/>
      <c r="KH9" s="157"/>
      <c r="KI9" s="157"/>
      <c r="KJ9" s="157"/>
      <c r="KK9" s="157"/>
      <c r="KL9" s="157"/>
    </row>
    <row r="10" spans="1:298">
      <c r="A10" s="66" t="s">
        <v>80</v>
      </c>
      <c r="B10" s="66"/>
      <c r="C10" s="668">
        <f>('[3]segmenty prez'!$G$35)*1000</f>
        <v>135000</v>
      </c>
      <c r="D10" s="668">
        <f>('[3]segmenty prez'!$G$71)*1000</f>
        <v>142000</v>
      </c>
      <c r="E10" s="666"/>
      <c r="F10" s="668">
        <f>('[3]segmenty 3 m-ce PREZ'!$G$25)*1000</f>
        <v>32000</v>
      </c>
      <c r="G10" s="668">
        <f>('[3]segmenty 3 m-ce PREZ'!$G$54)*1000</f>
        <v>48000</v>
      </c>
      <c r="H10" s="66"/>
      <c r="I10" s="668">
        <v>103000</v>
      </c>
      <c r="J10" s="668">
        <v>94000</v>
      </c>
      <c r="K10" s="666"/>
      <c r="L10" s="668">
        <v>70000</v>
      </c>
      <c r="M10" s="668">
        <v>62000</v>
      </c>
      <c r="N10" s="666"/>
      <c r="O10" s="668">
        <f>[4]segmenty!$F$37*1000</f>
        <v>32000</v>
      </c>
      <c r="P10" s="668">
        <f>[4]segmenty!$F$75*1000</f>
        <v>33000</v>
      </c>
      <c r="Q10" s="666"/>
      <c r="R10" s="668">
        <f>([5]segmenty!$F$37)*1000</f>
        <v>332000</v>
      </c>
      <c r="S10" s="668">
        <f>([5]segmenty!$F$76)*1000</f>
        <v>391000</v>
      </c>
      <c r="T10" s="666"/>
      <c r="U10" s="668">
        <f t="shared" si="11"/>
        <v>189000</v>
      </c>
      <c r="V10" s="668">
        <f t="shared" si="11"/>
        <v>159000</v>
      </c>
      <c r="W10" s="666"/>
      <c r="X10" s="609">
        <f>([6]segmenty!$F$37)*1000</f>
        <v>143000</v>
      </c>
      <c r="Y10" s="609">
        <f>([6]segmenty!$F$76)*1000</f>
        <v>232000</v>
      </c>
      <c r="Z10" s="624"/>
      <c r="AA10" s="609">
        <f>('[6]segmenty 3 m-ce PREZ'!$F$25)*1000</f>
        <v>49000</v>
      </c>
      <c r="AB10" s="609">
        <f>('[6]segmenty 3 m-ce PREZ'!$F$55)*1000</f>
        <v>42000</v>
      </c>
      <c r="AC10" s="624"/>
      <c r="AD10" s="609">
        <f>[7]segmenty!$F$37*1000</f>
        <v>94000</v>
      </c>
      <c r="AE10" s="609">
        <f>[7]segmenty!$F$75*1000</f>
        <v>190000</v>
      </c>
      <c r="AF10" s="624"/>
      <c r="AG10" s="609">
        <f>('[7]segmenty 3 m-ce PREZ'!$F$25)*1000</f>
        <v>61000</v>
      </c>
      <c r="AH10" s="609">
        <f>('[7]segmenty 3 m-ce PREZ'!$F$54)*1000</f>
        <v>154000</v>
      </c>
      <c r="AI10" s="624"/>
      <c r="AJ10" s="609">
        <f t="shared" si="12"/>
        <v>159000</v>
      </c>
      <c r="AK10" s="626">
        <f t="shared" si="12"/>
        <v>83000</v>
      </c>
      <c r="AL10" s="624"/>
      <c r="AM10" s="609">
        <v>391000</v>
      </c>
      <c r="AN10" s="609">
        <v>200000</v>
      </c>
      <c r="AO10" s="624"/>
      <c r="AP10" s="336">
        <v>42000</v>
      </c>
      <c r="AQ10" s="144">
        <v>36000</v>
      </c>
      <c r="AR10" s="66"/>
      <c r="AS10" s="336">
        <v>232000</v>
      </c>
      <c r="AT10" s="144">
        <v>117000</v>
      </c>
      <c r="AU10" s="66"/>
      <c r="AV10" s="336">
        <f t="shared" si="0"/>
        <v>154000</v>
      </c>
      <c r="AW10" s="144">
        <f t="shared" si="0"/>
        <v>45000</v>
      </c>
      <c r="AX10" s="66"/>
      <c r="AY10" s="336">
        <v>190000</v>
      </c>
      <c r="AZ10" s="144">
        <v>81000</v>
      </c>
      <c r="BA10" s="66"/>
      <c r="BB10" s="336">
        <v>36000</v>
      </c>
      <c r="BC10" s="144">
        <v>36000</v>
      </c>
      <c r="BD10" s="163"/>
      <c r="BE10" s="336">
        <f t="shared" si="1"/>
        <v>81240</v>
      </c>
      <c r="BF10" s="144">
        <f t="shared" si="2"/>
        <v>123672</v>
      </c>
      <c r="BG10" s="163"/>
      <c r="BH10" s="336">
        <v>200000</v>
      </c>
      <c r="BI10" s="144">
        <v>248000</v>
      </c>
      <c r="BJ10" s="163"/>
      <c r="BK10" s="336">
        <f t="shared" si="3"/>
        <v>36345</v>
      </c>
      <c r="BL10" s="144">
        <f t="shared" si="3"/>
        <v>58542</v>
      </c>
      <c r="BM10" s="163"/>
      <c r="BN10" s="336">
        <v>118760</v>
      </c>
      <c r="BO10" s="144">
        <v>124328</v>
      </c>
      <c r="BP10" s="163"/>
      <c r="BQ10" s="336">
        <f t="shared" si="4"/>
        <v>46056</v>
      </c>
      <c r="BR10" s="144">
        <f t="shared" si="4"/>
        <v>40613</v>
      </c>
      <c r="BS10" s="163"/>
      <c r="BT10" s="336">
        <v>82415</v>
      </c>
      <c r="BU10" s="144">
        <v>65786</v>
      </c>
      <c r="BV10" s="163"/>
      <c r="BW10" s="336">
        <v>36359</v>
      </c>
      <c r="BX10" s="144">
        <v>25173</v>
      </c>
      <c r="BY10" s="163"/>
      <c r="BZ10" s="336">
        <f t="shared" si="5"/>
        <v>124157</v>
      </c>
      <c r="CA10" s="144">
        <f t="shared" si="6"/>
        <v>84387</v>
      </c>
      <c r="CB10" s="163"/>
      <c r="CC10" s="336">
        <v>248485</v>
      </c>
      <c r="CD10" s="336">
        <v>132901</v>
      </c>
      <c r="CE10" s="163"/>
      <c r="CF10" s="336">
        <f t="shared" si="7"/>
        <v>58542</v>
      </c>
      <c r="CG10" s="144">
        <f t="shared" si="7"/>
        <v>16687</v>
      </c>
      <c r="CH10" s="163"/>
      <c r="CI10" s="336">
        <v>124328</v>
      </c>
      <c r="CJ10" s="336">
        <v>48514</v>
      </c>
      <c r="CK10" s="163"/>
      <c r="CL10" s="336">
        <f t="shared" si="8"/>
        <v>40613</v>
      </c>
      <c r="CM10" s="144">
        <f t="shared" si="9"/>
        <v>15237</v>
      </c>
      <c r="CN10" s="163"/>
      <c r="CO10" s="336">
        <v>65786</v>
      </c>
      <c r="CP10" s="144">
        <v>31827</v>
      </c>
      <c r="CQ10" s="163"/>
      <c r="CR10" s="336">
        <v>25173</v>
      </c>
      <c r="CS10" s="144">
        <v>16590</v>
      </c>
      <c r="CT10" s="163"/>
      <c r="CU10" s="341">
        <v>132901</v>
      </c>
      <c r="CV10" s="144">
        <v>74561</v>
      </c>
      <c r="CW10" s="366"/>
      <c r="CX10" s="341">
        <v>84387</v>
      </c>
      <c r="CY10" s="144">
        <v>34802</v>
      </c>
      <c r="CZ10" s="366"/>
      <c r="DA10" s="341">
        <v>48514</v>
      </c>
      <c r="DB10" s="144">
        <v>39759</v>
      </c>
      <c r="DC10" s="366"/>
      <c r="DD10" s="341">
        <v>16687</v>
      </c>
      <c r="DE10" s="144">
        <v>17573</v>
      </c>
      <c r="DF10" s="366"/>
      <c r="DG10" s="366"/>
      <c r="DH10" s="341">
        <v>31827</v>
      </c>
      <c r="DI10" s="144">
        <v>22186</v>
      </c>
      <c r="DJ10" s="366"/>
      <c r="DK10" s="341">
        <v>15237</v>
      </c>
      <c r="DL10" s="144">
        <v>9429</v>
      </c>
      <c r="DM10" s="366"/>
      <c r="DN10" s="341">
        <v>16590</v>
      </c>
      <c r="DO10" s="144">
        <v>12757</v>
      </c>
      <c r="DP10" s="366"/>
      <c r="DQ10" s="341">
        <v>73241</v>
      </c>
      <c r="DR10" s="144">
        <v>97911</v>
      </c>
      <c r="DS10" s="366"/>
      <c r="DT10" s="341">
        <f t="shared" si="10"/>
        <v>33482</v>
      </c>
      <c r="DU10" s="144">
        <f t="shared" si="10"/>
        <v>65281</v>
      </c>
      <c r="DV10" s="366"/>
      <c r="DW10" s="341">
        <v>39759</v>
      </c>
      <c r="DX10" s="144">
        <v>32630</v>
      </c>
      <c r="DY10" s="366"/>
      <c r="DZ10" s="341">
        <v>17573</v>
      </c>
      <c r="EA10" s="144">
        <v>12389</v>
      </c>
      <c r="EB10" s="366"/>
      <c r="EC10" s="341">
        <v>22186</v>
      </c>
      <c r="ED10" s="144">
        <v>20241</v>
      </c>
      <c r="EE10" s="366"/>
      <c r="EF10" s="341">
        <v>9429</v>
      </c>
      <c r="EG10" s="144">
        <v>10403</v>
      </c>
      <c r="EH10" s="366"/>
      <c r="EI10" s="341">
        <v>12757</v>
      </c>
      <c r="EJ10" s="144">
        <v>9838</v>
      </c>
      <c r="EK10" s="366"/>
      <c r="EL10" s="341">
        <v>97911</v>
      </c>
      <c r="EM10" s="144">
        <v>64921</v>
      </c>
      <c r="EN10" s="366"/>
      <c r="EO10" s="341">
        <v>65281</v>
      </c>
      <c r="EP10" s="144">
        <v>30284</v>
      </c>
      <c r="EQ10" s="366"/>
      <c r="ER10" s="341">
        <v>32630</v>
      </c>
      <c r="ES10" s="144">
        <v>34637</v>
      </c>
      <c r="ET10" s="366"/>
      <c r="EU10" s="341">
        <v>12389</v>
      </c>
      <c r="EV10" s="144">
        <v>18077</v>
      </c>
      <c r="EW10" s="366"/>
      <c r="EX10" s="341">
        <v>20241</v>
      </c>
      <c r="EY10" s="144">
        <v>16560</v>
      </c>
      <c r="EZ10" s="163"/>
      <c r="FA10" s="166">
        <v>10403</v>
      </c>
      <c r="FB10" s="156">
        <v>11182</v>
      </c>
      <c r="FC10" s="163"/>
      <c r="FD10" s="166">
        <v>9838</v>
      </c>
      <c r="FE10" s="156">
        <v>5378</v>
      </c>
      <c r="FF10" s="163"/>
      <c r="FG10" s="166">
        <v>64921</v>
      </c>
      <c r="FH10" s="156">
        <v>100293</v>
      </c>
      <c r="FI10" s="163"/>
      <c r="FJ10" s="166">
        <v>30284</v>
      </c>
      <c r="FK10" s="156">
        <v>44365</v>
      </c>
      <c r="FL10" s="163"/>
      <c r="FM10" s="166">
        <v>34637</v>
      </c>
      <c r="FN10" s="156">
        <v>55928</v>
      </c>
      <c r="FO10" s="163"/>
      <c r="FP10" s="166">
        <v>18077</v>
      </c>
      <c r="FQ10" s="156">
        <v>15792</v>
      </c>
      <c r="FR10" s="163"/>
      <c r="FS10" s="166">
        <v>16560</v>
      </c>
      <c r="FT10" s="156">
        <v>40136</v>
      </c>
      <c r="FU10" s="163"/>
      <c r="FV10" s="166">
        <v>11182</v>
      </c>
      <c r="FW10" s="156">
        <v>18900</v>
      </c>
      <c r="FX10" s="163"/>
      <c r="FY10" s="166">
        <v>5378</v>
      </c>
      <c r="FZ10" s="156">
        <v>21236</v>
      </c>
      <c r="GA10" s="163"/>
      <c r="GB10" s="166">
        <v>100293</v>
      </c>
      <c r="GC10" s="156">
        <v>104957</v>
      </c>
      <c r="GD10" s="163"/>
      <c r="GE10" s="166">
        <v>44365</v>
      </c>
      <c r="GF10" s="156">
        <v>48013</v>
      </c>
      <c r="GG10" s="163"/>
      <c r="GH10" s="156">
        <v>55928</v>
      </c>
      <c r="GI10" s="156">
        <v>56944</v>
      </c>
      <c r="GJ10" s="157"/>
      <c r="GK10" s="156">
        <v>15792</v>
      </c>
      <c r="GL10" s="156">
        <v>13727</v>
      </c>
      <c r="GM10" s="157"/>
      <c r="GN10" s="156">
        <v>40136</v>
      </c>
      <c r="GO10" s="156">
        <v>43217</v>
      </c>
      <c r="GP10" s="157"/>
      <c r="GQ10" s="156">
        <v>18900</v>
      </c>
      <c r="GR10" s="156">
        <v>29215</v>
      </c>
      <c r="GS10" s="157"/>
      <c r="GT10" s="156">
        <v>21236</v>
      </c>
      <c r="GU10" s="156">
        <v>14002</v>
      </c>
      <c r="GV10" s="157"/>
      <c r="GW10" s="163" t="s">
        <v>22</v>
      </c>
      <c r="GX10" s="156">
        <v>1934781</v>
      </c>
      <c r="GY10" s="156">
        <v>2080675</v>
      </c>
      <c r="GZ10" s="157"/>
      <c r="HA10" s="156">
        <v>1285823</v>
      </c>
      <c r="HB10" s="156">
        <v>1191798</v>
      </c>
      <c r="HC10" s="157"/>
      <c r="HD10" s="156">
        <v>841488</v>
      </c>
      <c r="HE10" s="156">
        <v>633812</v>
      </c>
      <c r="HF10" s="157"/>
      <c r="HG10" s="167">
        <v>2080675</v>
      </c>
      <c r="HH10" s="167">
        <v>1785779</v>
      </c>
      <c r="HI10" s="157"/>
      <c r="HJ10" s="157"/>
      <c r="HK10" s="157"/>
      <c r="HL10" s="157"/>
      <c r="HM10" s="157"/>
      <c r="HN10" s="157"/>
      <c r="HO10" s="157"/>
      <c r="HP10" s="157"/>
      <c r="HQ10" s="157"/>
      <c r="HR10" s="157"/>
      <c r="HS10" s="157"/>
      <c r="HT10" s="157"/>
      <c r="HU10" s="157"/>
      <c r="HV10" s="157"/>
      <c r="HW10" s="157"/>
      <c r="HX10" s="157"/>
      <c r="HY10" s="157"/>
      <c r="HZ10" s="157"/>
      <c r="IA10" s="157"/>
      <c r="IB10" s="157"/>
      <c r="IC10" s="157"/>
      <c r="ID10" s="157"/>
      <c r="IE10" s="157"/>
      <c r="IF10" s="157"/>
      <c r="IG10" s="157"/>
      <c r="IH10" s="157"/>
      <c r="II10" s="157"/>
      <c r="IJ10" s="157"/>
      <c r="IK10" s="157"/>
      <c r="IL10" s="157"/>
      <c r="IM10" s="157"/>
      <c r="IN10" s="157"/>
      <c r="IO10" s="157"/>
      <c r="IP10" s="157"/>
      <c r="IQ10" s="157"/>
      <c r="IR10" s="157"/>
      <c r="IS10" s="157"/>
      <c r="IT10" s="157"/>
      <c r="IU10" s="157"/>
      <c r="IV10" s="157"/>
      <c r="IW10" s="157"/>
      <c r="IX10" s="157"/>
      <c r="IY10" s="157"/>
      <c r="IZ10" s="157"/>
      <c r="JA10" s="157"/>
      <c r="JB10" s="157"/>
      <c r="JC10" s="157"/>
      <c r="JD10" s="157"/>
      <c r="JE10" s="157"/>
      <c r="JF10" s="157"/>
      <c r="JG10" s="157"/>
      <c r="JH10" s="157"/>
      <c r="JI10" s="157"/>
      <c r="JJ10" s="157"/>
      <c r="JK10" s="157"/>
      <c r="JL10" s="157"/>
      <c r="JM10" s="157"/>
      <c r="JN10" s="157"/>
      <c r="JO10" s="157"/>
      <c r="JP10" s="157"/>
      <c r="JQ10" s="157"/>
      <c r="JR10" s="157"/>
      <c r="JS10" s="157"/>
      <c r="JT10" s="157"/>
      <c r="JU10" s="157"/>
      <c r="JV10" s="157"/>
      <c r="JW10" s="157"/>
      <c r="JX10" s="157"/>
      <c r="JY10" s="157"/>
      <c r="JZ10" s="157"/>
      <c r="KA10" s="157"/>
      <c r="KB10" s="157"/>
      <c r="KC10" s="157"/>
      <c r="KD10" s="157"/>
      <c r="KE10" s="157"/>
      <c r="KF10" s="157"/>
      <c r="KG10" s="157"/>
      <c r="KH10" s="157"/>
      <c r="KI10" s="157"/>
      <c r="KJ10" s="157"/>
      <c r="KK10" s="157"/>
      <c r="KL10" s="157"/>
    </row>
    <row r="11" spans="1:298">
      <c r="A11" s="27" t="s">
        <v>593</v>
      </c>
      <c r="B11" s="66"/>
      <c r="C11" s="669"/>
      <c r="D11" s="669"/>
      <c r="E11" s="666"/>
      <c r="F11" s="669"/>
      <c r="G11" s="669"/>
      <c r="H11" s="66"/>
      <c r="I11" s="669"/>
      <c r="J11" s="669"/>
      <c r="K11" s="666"/>
      <c r="L11" s="669"/>
      <c r="M11" s="669"/>
      <c r="N11" s="666"/>
      <c r="O11" s="669"/>
      <c r="P11" s="669"/>
      <c r="Q11" s="666"/>
      <c r="R11" s="669"/>
      <c r="S11" s="669">
        <f>([5]segmenty!$I$76)*1000</f>
        <v>517000</v>
      </c>
      <c r="T11" s="666"/>
      <c r="U11" s="669"/>
      <c r="V11" s="669">
        <f>S11-Y11</f>
        <v>206000</v>
      </c>
      <c r="W11" s="666"/>
      <c r="X11" s="627"/>
      <c r="Y11" s="627">
        <f>([6]segmenty!$I$76)*1000</f>
        <v>311000</v>
      </c>
      <c r="Z11" s="624"/>
      <c r="AA11" s="627"/>
      <c r="AB11" s="627">
        <f>('[6]segmenty 3 m-ce PREZ'!$I$55)*1000</f>
        <v>144000</v>
      </c>
      <c r="AC11" s="624"/>
      <c r="AD11" s="627"/>
      <c r="AE11" s="627">
        <f>SUM([7]segmenty!$I$75:$J$75)*1000</f>
        <v>167000</v>
      </c>
      <c r="AF11" s="624"/>
      <c r="AG11" s="627">
        <v>0</v>
      </c>
      <c r="AH11" s="627">
        <f>('[7]segmenty 3 m-ce PREZ'!$I$54)*1000</f>
        <v>98000</v>
      </c>
      <c r="AI11" s="624"/>
      <c r="AJ11" s="627">
        <f>AM11-AS4</f>
        <v>206000</v>
      </c>
      <c r="AK11" s="628">
        <f>AN11-AT4</f>
        <v>83000</v>
      </c>
      <c r="AL11" s="624"/>
      <c r="AM11" s="627">
        <v>517000</v>
      </c>
      <c r="AN11" s="627">
        <v>276000</v>
      </c>
      <c r="AO11" s="624"/>
      <c r="AP11" s="371"/>
      <c r="AQ11" s="145"/>
      <c r="AR11" s="66"/>
      <c r="AS11" s="371"/>
      <c r="AT11" s="145"/>
      <c r="AU11" s="66"/>
      <c r="AV11" s="371"/>
      <c r="AW11" s="145"/>
      <c r="AX11" s="66"/>
      <c r="AY11" s="371"/>
      <c r="AZ11" s="145"/>
      <c r="BA11" s="66"/>
      <c r="BB11" s="371"/>
      <c r="BC11" s="145"/>
      <c r="BD11" s="163"/>
      <c r="BE11" s="371"/>
      <c r="BF11" s="145"/>
      <c r="BG11" s="163"/>
      <c r="BH11" s="371"/>
      <c r="BI11" s="145"/>
      <c r="BJ11" s="163"/>
      <c r="BK11" s="371"/>
      <c r="BL11" s="145"/>
      <c r="BM11" s="163"/>
      <c r="BN11" s="371"/>
      <c r="BO11" s="145"/>
      <c r="BP11" s="163"/>
      <c r="BQ11" s="371"/>
      <c r="BR11" s="145"/>
      <c r="BS11" s="163"/>
      <c r="BT11" s="371"/>
      <c r="BU11" s="145"/>
      <c r="BV11" s="163"/>
      <c r="BW11" s="371"/>
      <c r="BX11" s="145"/>
      <c r="BY11" s="163"/>
      <c r="BZ11" s="371">
        <f t="shared" si="5"/>
        <v>33500</v>
      </c>
      <c r="CA11" s="145">
        <f t="shared" si="6"/>
        <v>31506</v>
      </c>
      <c r="CB11" s="163"/>
      <c r="CC11" s="371">
        <v>100319</v>
      </c>
      <c r="CD11" s="371">
        <v>84483</v>
      </c>
      <c r="CE11" s="163"/>
      <c r="CF11" s="371">
        <f t="shared" si="7"/>
        <v>34379</v>
      </c>
      <c r="CG11" s="145">
        <f t="shared" si="7"/>
        <v>25335</v>
      </c>
      <c r="CH11" s="163"/>
      <c r="CI11" s="371">
        <v>66819</v>
      </c>
      <c r="CJ11" s="371">
        <v>52977</v>
      </c>
      <c r="CK11" s="163"/>
      <c r="CL11" s="371">
        <f t="shared" si="8"/>
        <v>18613</v>
      </c>
      <c r="CM11" s="145">
        <f t="shared" si="9"/>
        <v>16130</v>
      </c>
      <c r="CN11" s="163"/>
      <c r="CO11" s="371">
        <v>32440</v>
      </c>
      <c r="CP11" s="145">
        <v>27642</v>
      </c>
      <c r="CQ11" s="163"/>
      <c r="CR11" s="371">
        <v>13827</v>
      </c>
      <c r="CS11" s="145">
        <v>11512</v>
      </c>
      <c r="CT11" s="163"/>
      <c r="CU11" s="367"/>
      <c r="CV11" s="145"/>
      <c r="CW11" s="366"/>
      <c r="CX11" s="367"/>
      <c r="CY11" s="145"/>
      <c r="CZ11" s="366"/>
      <c r="DA11" s="367"/>
      <c r="DB11" s="145"/>
      <c r="DC11" s="366"/>
      <c r="DD11" s="367"/>
      <c r="DE11" s="145"/>
      <c r="DF11" s="366"/>
      <c r="DG11" s="366"/>
      <c r="DH11" s="367"/>
      <c r="DI11" s="145"/>
      <c r="DJ11" s="366"/>
      <c r="DK11" s="367"/>
      <c r="DL11" s="145"/>
      <c r="DM11" s="366"/>
      <c r="DN11" s="367"/>
      <c r="DO11" s="145"/>
      <c r="DP11" s="366"/>
      <c r="DQ11" s="367"/>
      <c r="DR11" s="145"/>
      <c r="DS11" s="366"/>
      <c r="DT11" s="367"/>
      <c r="DU11" s="145"/>
      <c r="DV11" s="366"/>
      <c r="DW11" s="367"/>
      <c r="DX11" s="145"/>
      <c r="DY11" s="366"/>
      <c r="DZ11" s="367"/>
      <c r="EA11" s="145"/>
      <c r="EB11" s="366"/>
      <c r="EC11" s="367"/>
      <c r="ED11" s="145"/>
      <c r="EE11" s="366"/>
      <c r="EF11" s="367"/>
      <c r="EG11" s="145"/>
      <c r="EH11" s="366"/>
      <c r="EI11" s="367"/>
      <c r="EJ11" s="145"/>
      <c r="EK11" s="366"/>
      <c r="EL11" s="367"/>
      <c r="EM11" s="145"/>
      <c r="EN11" s="366"/>
      <c r="EO11" s="367"/>
      <c r="EP11" s="145"/>
      <c r="EQ11" s="366"/>
      <c r="ER11" s="367"/>
      <c r="ES11" s="145"/>
      <c r="ET11" s="366"/>
      <c r="EU11" s="367"/>
      <c r="EV11" s="145"/>
      <c r="EW11" s="366"/>
      <c r="EX11" s="367"/>
      <c r="EY11" s="145"/>
      <c r="EZ11" s="163"/>
      <c r="FA11" s="169"/>
      <c r="FB11" s="170"/>
      <c r="FC11" s="163"/>
      <c r="FD11" s="169"/>
      <c r="FE11" s="170"/>
      <c r="FF11" s="163"/>
      <c r="FG11" s="169"/>
      <c r="FH11" s="170"/>
      <c r="FI11" s="163"/>
      <c r="FJ11" s="169"/>
      <c r="FK11" s="170"/>
      <c r="FL11" s="163"/>
      <c r="FM11" s="169"/>
      <c r="FN11" s="170"/>
      <c r="FO11" s="163"/>
      <c r="FP11" s="169"/>
      <c r="FQ11" s="170"/>
      <c r="FR11" s="163"/>
      <c r="FS11" s="169"/>
      <c r="FT11" s="170"/>
      <c r="FU11" s="163"/>
      <c r="FV11" s="169"/>
      <c r="FW11" s="170"/>
      <c r="FX11" s="163"/>
      <c r="FY11" s="169"/>
      <c r="FZ11" s="170"/>
      <c r="GA11" s="163"/>
      <c r="GB11" s="169"/>
      <c r="GC11" s="170"/>
      <c r="GD11" s="163"/>
      <c r="GE11" s="169"/>
      <c r="GF11" s="170"/>
      <c r="GG11" s="163"/>
      <c r="GH11" s="170"/>
      <c r="GI11" s="170"/>
      <c r="GJ11" s="157"/>
      <c r="GK11" s="170"/>
      <c r="GL11" s="170"/>
      <c r="GM11" s="157"/>
      <c r="GN11" s="170"/>
      <c r="GO11" s="170"/>
      <c r="GP11" s="157"/>
      <c r="GQ11" s="170"/>
      <c r="GR11" s="170"/>
      <c r="GS11" s="157"/>
      <c r="GT11" s="170"/>
      <c r="GU11" s="170"/>
      <c r="GV11" s="157"/>
      <c r="GW11" s="163"/>
      <c r="GX11" s="156"/>
      <c r="GY11" s="156"/>
      <c r="GZ11" s="157"/>
      <c r="HA11" s="156"/>
      <c r="HB11" s="156"/>
      <c r="HC11" s="157"/>
      <c r="HD11" s="156"/>
      <c r="HE11" s="156"/>
      <c r="HF11" s="157"/>
      <c r="HG11" s="167"/>
      <c r="HH11" s="167"/>
      <c r="HI11" s="157"/>
      <c r="HJ11" s="157"/>
      <c r="HK11" s="157"/>
      <c r="HL11" s="157"/>
      <c r="HM11" s="157"/>
      <c r="HN11" s="157"/>
      <c r="HO11" s="157"/>
      <c r="HP11" s="157"/>
      <c r="HQ11" s="157"/>
      <c r="HR11" s="157"/>
      <c r="HS11" s="157"/>
      <c r="HT11" s="157"/>
      <c r="HU11" s="157"/>
      <c r="HV11" s="157"/>
      <c r="HW11" s="157"/>
      <c r="HX11" s="157"/>
      <c r="HY11" s="157"/>
      <c r="HZ11" s="157"/>
      <c r="IA11" s="157"/>
      <c r="IB11" s="157"/>
      <c r="IC11" s="157"/>
      <c r="ID11" s="157"/>
      <c r="IE11" s="157"/>
      <c r="IF11" s="157"/>
      <c r="IG11" s="157"/>
      <c r="IH11" s="157"/>
      <c r="II11" s="157"/>
      <c r="IJ11" s="157"/>
      <c r="IK11" s="157"/>
      <c r="IL11" s="157"/>
      <c r="IM11" s="157"/>
      <c r="IN11" s="157"/>
      <c r="IO11" s="157"/>
      <c r="IP11" s="157"/>
      <c r="IQ11" s="157"/>
      <c r="IR11" s="157"/>
      <c r="IS11" s="157"/>
      <c r="IT11" s="157"/>
      <c r="IU11" s="157"/>
      <c r="IV11" s="157"/>
      <c r="IW11" s="157"/>
      <c r="IX11" s="157"/>
      <c r="IY11" s="157"/>
      <c r="IZ11" s="157"/>
      <c r="JA11" s="157"/>
      <c r="JB11" s="157"/>
      <c r="JC11" s="157"/>
      <c r="JD11" s="157"/>
      <c r="JE11" s="157"/>
      <c r="JF11" s="157"/>
      <c r="JG11" s="157"/>
      <c r="JH11" s="157"/>
      <c r="JI11" s="157"/>
      <c r="JJ11" s="157"/>
      <c r="JK11" s="157"/>
      <c r="JL11" s="157"/>
      <c r="JM11" s="157"/>
      <c r="JN11" s="157"/>
      <c r="JO11" s="157"/>
      <c r="JP11" s="157"/>
      <c r="JQ11" s="157"/>
      <c r="JR11" s="157"/>
      <c r="JS11" s="157"/>
      <c r="JT11" s="157"/>
      <c r="JU11" s="157"/>
      <c r="JV11" s="157"/>
      <c r="JW11" s="157"/>
      <c r="JX11" s="157"/>
      <c r="JY11" s="157"/>
      <c r="JZ11" s="157"/>
      <c r="KA11" s="157"/>
      <c r="KB11" s="157"/>
      <c r="KC11" s="157"/>
      <c r="KD11" s="157"/>
      <c r="KE11" s="157"/>
      <c r="KF11" s="157"/>
      <c r="KG11" s="157"/>
      <c r="KH11" s="157"/>
      <c r="KI11" s="157"/>
      <c r="KJ11" s="157"/>
      <c r="KK11" s="157"/>
      <c r="KL11" s="157"/>
    </row>
    <row r="12" spans="1:298">
      <c r="A12" s="67" t="s">
        <v>375</v>
      </c>
      <c r="C12" s="668"/>
      <c r="D12" s="670"/>
      <c r="F12" s="668"/>
      <c r="G12" s="670"/>
      <c r="I12" s="668"/>
      <c r="J12" s="670"/>
      <c r="L12" s="668"/>
      <c r="M12" s="670"/>
      <c r="O12" s="668"/>
      <c r="P12" s="670"/>
      <c r="R12" s="668"/>
      <c r="S12" s="670"/>
      <c r="U12" s="668"/>
      <c r="V12" s="670"/>
      <c r="X12" s="609"/>
      <c r="Y12" s="626"/>
      <c r="AA12" s="609"/>
      <c r="AB12" s="626"/>
      <c r="AD12" s="609"/>
      <c r="AE12" s="626"/>
      <c r="AG12" s="609"/>
      <c r="AH12" s="626"/>
      <c r="AJ12" s="609"/>
      <c r="AK12" s="626"/>
      <c r="AM12" s="609"/>
      <c r="AN12" s="626"/>
      <c r="AP12" s="336"/>
      <c r="AQ12" s="144"/>
      <c r="AS12" s="336"/>
      <c r="AT12" s="144"/>
      <c r="AV12" s="336">
        <f t="shared" ref="AV12:AW12" si="13">SUM(AV4:AV11)</f>
        <v>871000</v>
      </c>
      <c r="AW12" s="144">
        <f t="shared" si="13"/>
        <v>648000</v>
      </c>
      <c r="AY12" s="336">
        <f t="shared" ref="AY12:AZ12" si="14">SUM(AY4:AY11)</f>
        <v>1481000</v>
      </c>
      <c r="AZ12" s="144">
        <f t="shared" si="14"/>
        <v>1286000</v>
      </c>
      <c r="BB12" s="336">
        <f t="shared" ref="BB12:BC12" si="15">SUM(BB4:BB11)</f>
        <v>610000</v>
      </c>
      <c r="BC12" s="144">
        <f t="shared" si="15"/>
        <v>638000</v>
      </c>
      <c r="BE12" s="336">
        <f t="shared" ref="BE12:BF12" si="16">SUM(BE4:BE11)</f>
        <v>968858</v>
      </c>
      <c r="BF12" s="144">
        <f t="shared" si="16"/>
        <v>1311397</v>
      </c>
      <c r="BH12" s="336">
        <f t="shared" ref="BH12:BI12" si="17">SUM(BH4:BH11)</f>
        <v>2932000</v>
      </c>
      <c r="BI12" s="144">
        <f t="shared" si="17"/>
        <v>4039000</v>
      </c>
      <c r="BK12" s="336">
        <f t="shared" ref="BK12:BL12" si="18">SUM(BK4:BK11)</f>
        <v>676010</v>
      </c>
      <c r="BL12" s="144">
        <f t="shared" si="18"/>
        <v>915322</v>
      </c>
      <c r="BN12" s="336">
        <f t="shared" ref="BN12:BO12" si="19">SUM(BN4:BN11)</f>
        <v>1963142</v>
      </c>
      <c r="BO12" s="144">
        <f t="shared" si="19"/>
        <v>2727603</v>
      </c>
      <c r="BQ12" s="336">
        <f t="shared" ref="BQ12:BR12" si="20">SUM(BQ4:BQ11)</f>
        <v>648184</v>
      </c>
      <c r="BR12" s="144">
        <f t="shared" si="20"/>
        <v>872439</v>
      </c>
      <c r="BT12" s="336">
        <f t="shared" ref="BT12:BU12" si="21">SUM(BT4:BT11)</f>
        <v>1287132</v>
      </c>
      <c r="BU12" s="144">
        <f t="shared" si="21"/>
        <v>1812281</v>
      </c>
      <c r="BW12" s="336">
        <f t="shared" ref="BW12:BX12" si="22">SUM(BW4:BW11)</f>
        <v>638948</v>
      </c>
      <c r="BX12" s="144">
        <f t="shared" si="22"/>
        <v>939842</v>
      </c>
      <c r="BZ12" s="336">
        <f>SUM(BZ4:BZ11)</f>
        <v>1311691</v>
      </c>
      <c r="CA12" s="144">
        <f>SUM(CA4:CA11)</f>
        <v>1386910</v>
      </c>
      <c r="CC12" s="336">
        <f t="shared" ref="CC12:CD12" si="23">SUM(CC4:CC11)</f>
        <v>4039294</v>
      </c>
      <c r="CD12" s="336">
        <f t="shared" si="23"/>
        <v>4127891</v>
      </c>
      <c r="CF12" s="336">
        <f>SUM(CF4:CF11)</f>
        <v>915322</v>
      </c>
      <c r="CG12" s="144">
        <f>SUM(CG4:CG11)</f>
        <v>1098880</v>
      </c>
      <c r="CI12" s="336">
        <f t="shared" ref="CI12" si="24">SUM(CI4:CI11)</f>
        <v>2727603</v>
      </c>
      <c r="CJ12" s="336">
        <f t="shared" ref="CJ12" si="25">SUM(CJ4:CJ11)</f>
        <v>2740981</v>
      </c>
      <c r="CL12" s="336">
        <f>SUM(CL4:CL11)</f>
        <v>872439</v>
      </c>
      <c r="CM12" s="144">
        <f>SUM(CM4:CM11)</f>
        <v>915557</v>
      </c>
      <c r="CO12" s="336">
        <f t="shared" ref="CO12:CP12" si="26">SUM(CO4:CO11)</f>
        <v>1812281</v>
      </c>
      <c r="CP12" s="144">
        <f t="shared" si="26"/>
        <v>1642101</v>
      </c>
      <c r="CR12" s="336">
        <f t="shared" ref="CR12:CS12" si="27">SUM(CR4:CR11)</f>
        <v>939842</v>
      </c>
      <c r="CS12" s="144">
        <f t="shared" si="27"/>
        <v>726544</v>
      </c>
      <c r="CU12" s="341">
        <f>SUM(CU4:CU10)</f>
        <v>4127891</v>
      </c>
      <c r="CV12" s="144">
        <f>SUM(CV4:CV10)</f>
        <v>3837860</v>
      </c>
      <c r="CW12" s="339"/>
      <c r="CX12" s="341">
        <f>SUM(CX4:CX10)</f>
        <v>1386910</v>
      </c>
      <c r="CY12" s="144">
        <f>SUM(CY4:CY10)</f>
        <v>1393647</v>
      </c>
      <c r="CZ12" s="339"/>
      <c r="DA12" s="341">
        <f>SUM(DA4:DA10)</f>
        <v>2740981</v>
      </c>
      <c r="DB12" s="144">
        <f>SUM(DB4:DB10)</f>
        <v>2444213</v>
      </c>
      <c r="DC12" s="339"/>
      <c r="DD12" s="341">
        <f>SUM(DD4:DD10)</f>
        <v>1098880</v>
      </c>
      <c r="DE12" s="144">
        <f>SUM(DE4:DE10)</f>
        <v>883714</v>
      </c>
      <c r="DF12" s="339"/>
      <c r="DG12" s="339"/>
      <c r="DH12" s="341">
        <f>SUM(DH4:DH10)</f>
        <v>1642101</v>
      </c>
      <c r="DI12" s="144">
        <f>SUM(DI4:DI10)</f>
        <v>1560499</v>
      </c>
      <c r="DJ12" s="339"/>
      <c r="DK12" s="341">
        <f>SUM(DK4:DK10)</f>
        <v>915557</v>
      </c>
      <c r="DL12" s="144">
        <f>SUM(DL4:DL10)</f>
        <v>954016</v>
      </c>
      <c r="DM12" s="339"/>
      <c r="DN12" s="341">
        <f>SUM(DN4:DN10)</f>
        <v>726544</v>
      </c>
      <c r="DO12" s="144">
        <f>SUM(DO4:DO10)</f>
        <v>606483</v>
      </c>
      <c r="DP12" s="339"/>
      <c r="DQ12" s="341">
        <f>SUM(DQ4:DQ10)</f>
        <v>3672005</v>
      </c>
      <c r="DR12" s="144">
        <f>SUM(DR4:DR10)</f>
        <v>3474148</v>
      </c>
      <c r="DT12" s="341">
        <f>SUM(DT4:DT10)</f>
        <v>1347284</v>
      </c>
      <c r="DU12" s="144">
        <f>SUM(DU4:DU10)</f>
        <v>1256787</v>
      </c>
      <c r="DW12" s="341">
        <f>SUM(DW4:DW10)</f>
        <v>2324721</v>
      </c>
      <c r="DX12" s="144">
        <f>SUM(DX4:DX10)</f>
        <v>2217361</v>
      </c>
      <c r="DZ12" s="341">
        <f>SUM(DZ4:DZ10)</f>
        <v>844391</v>
      </c>
      <c r="EA12" s="144">
        <f>SUM(EA4:EA10)</f>
        <v>722119</v>
      </c>
      <c r="EC12" s="341">
        <f>SUM(EC4:EC10)</f>
        <v>1480330</v>
      </c>
      <c r="ED12" s="144">
        <f>SUM(ED4:ED10)</f>
        <v>1495242</v>
      </c>
      <c r="EE12" s="339"/>
      <c r="EF12" s="341">
        <f>SUM(EF4:EF10)</f>
        <v>911630</v>
      </c>
      <c r="EG12" s="144">
        <f>SUM(EG4:EG10)</f>
        <v>859154</v>
      </c>
      <c r="EH12" s="339"/>
      <c r="EI12" s="341">
        <f>SUM(EI4:EI10)</f>
        <v>568700</v>
      </c>
      <c r="EJ12" s="144">
        <f>SUM(EJ4:EJ10)</f>
        <v>636088</v>
      </c>
      <c r="EK12" s="339"/>
      <c r="EL12" s="341">
        <f>SUM(EL4:EL10)</f>
        <v>3474148</v>
      </c>
      <c r="EM12" s="144">
        <f>SUM(EM4:EM10)</f>
        <v>3816811</v>
      </c>
      <c r="EN12" s="339"/>
      <c r="EO12" s="341">
        <f>SUM(EO4:EO10)</f>
        <v>1256787</v>
      </c>
      <c r="EP12" s="144">
        <f>SUM(EP4:EP10)</f>
        <v>1366994</v>
      </c>
      <c r="EQ12" s="339"/>
      <c r="ER12" s="341">
        <f>SUM(ER4:ER10)</f>
        <v>2217361</v>
      </c>
      <c r="ES12" s="144">
        <f>SUM(ES4:ES10)</f>
        <v>2449817</v>
      </c>
      <c r="ET12" s="339"/>
      <c r="EU12" s="341">
        <f>SUM(EU4:EU10)</f>
        <v>722119</v>
      </c>
      <c r="EV12" s="144">
        <f>SUM(EV4:EV10)</f>
        <v>997687</v>
      </c>
      <c r="EW12" s="339"/>
      <c r="EX12" s="341">
        <f>SUM(EX4:EX10)</f>
        <v>1495242</v>
      </c>
      <c r="EY12" s="144">
        <f>SUM(EY4:EY10)</f>
        <v>1452130</v>
      </c>
      <c r="EZ12" s="157"/>
      <c r="FA12" s="166">
        <f>SUM(FA4:FA10)</f>
        <v>859154</v>
      </c>
      <c r="FB12" s="156">
        <f>SUM(FB4:FB10)</f>
        <v>798407</v>
      </c>
      <c r="FC12" s="157"/>
      <c r="FD12" s="166">
        <f>SUM(FD4:FD10)</f>
        <v>636088</v>
      </c>
      <c r="FE12" s="156">
        <f>SUM(FE4:FE10)</f>
        <v>653723</v>
      </c>
      <c r="FF12" s="157"/>
      <c r="FG12" s="166">
        <f>SUM(FG4:FG10)</f>
        <v>3816811</v>
      </c>
      <c r="FH12" s="156">
        <f>SUM(FH4:FH10)</f>
        <v>4175470</v>
      </c>
      <c r="FI12" s="157"/>
      <c r="FJ12" s="156">
        <f>SUM(FJ4:FJ10)</f>
        <v>1366994</v>
      </c>
      <c r="FK12" s="156">
        <f>SUM(FK4:FK10)</f>
        <v>1396598</v>
      </c>
      <c r="FL12" s="157"/>
      <c r="FM12" s="166">
        <f>SUM(FM4:FM10)</f>
        <v>2449817</v>
      </c>
      <c r="FN12" s="156">
        <f>SUM(FN4:FN10)</f>
        <v>2778872</v>
      </c>
      <c r="FO12" s="157"/>
      <c r="FP12" s="156">
        <f>SUM(FP4:FP10)</f>
        <v>997687</v>
      </c>
      <c r="FQ12" s="156">
        <f>SUM(FQ4:FQ10)</f>
        <v>1008145</v>
      </c>
      <c r="FR12" s="157"/>
      <c r="FS12" s="166">
        <f>SUM(FS4:FS10)</f>
        <v>1452130</v>
      </c>
      <c r="FT12" s="156">
        <f>SUM(FT4:FT10)</f>
        <v>1770727</v>
      </c>
      <c r="FU12" s="157"/>
      <c r="FV12" s="156">
        <f>SUM(FV4:FV10)</f>
        <v>798407</v>
      </c>
      <c r="FW12" s="156">
        <f>SUM(FW4:FW10)</f>
        <v>979049</v>
      </c>
      <c r="FX12" s="157"/>
      <c r="FY12" s="166">
        <f>SUM(FY4:FY10)</f>
        <v>653723</v>
      </c>
      <c r="FZ12" s="156">
        <f>SUM(FZ4:FZ10)</f>
        <v>791678</v>
      </c>
      <c r="GA12" s="157"/>
      <c r="GB12" s="166">
        <f>SUM(GB4:GB10)</f>
        <v>4175470</v>
      </c>
      <c r="GC12" s="156">
        <f>SUM(GC4:GC10)</f>
        <v>3089592</v>
      </c>
      <c r="GD12" s="157"/>
      <c r="GE12" s="166">
        <f>SUM(GE4:GE10)</f>
        <v>1396598</v>
      </c>
      <c r="GF12" s="156">
        <f>SUM(GF4:GF10)</f>
        <v>1079388</v>
      </c>
      <c r="GG12" s="171"/>
      <c r="GH12" s="156">
        <f>SUM(GH4:GH10)</f>
        <v>2778872</v>
      </c>
      <c r="GI12" s="156">
        <f>SUM(GI4:GI10)</f>
        <v>2010204</v>
      </c>
      <c r="GJ12" s="157"/>
      <c r="GK12" s="156">
        <f>SUM(GK4:GK10)</f>
        <v>1008145</v>
      </c>
      <c r="GL12" s="156">
        <f>SUM(GL4:GL10)</f>
        <v>760127</v>
      </c>
      <c r="GM12" s="157"/>
      <c r="GN12" s="156">
        <f>SUM(GN4:GN10)</f>
        <v>1770727</v>
      </c>
      <c r="GO12" s="156">
        <f>SUM(GO4:GO10)</f>
        <v>1250077</v>
      </c>
      <c r="GP12" s="157"/>
      <c r="GQ12" s="156">
        <f>SUM(GQ4:GQ10)</f>
        <v>979049</v>
      </c>
      <c r="GR12" s="156">
        <f>SUM(GR4:GR10)</f>
        <v>684767</v>
      </c>
      <c r="GS12" s="157"/>
      <c r="GT12" s="156">
        <f>SUM(GT4:GT10)</f>
        <v>791678</v>
      </c>
      <c r="GU12" s="156">
        <f>SUM(GU4:GU10)</f>
        <v>565310</v>
      </c>
      <c r="GV12" s="157"/>
      <c r="GW12" s="163" t="s">
        <v>24</v>
      </c>
      <c r="GX12" s="156">
        <v>5928</v>
      </c>
      <c r="GY12" s="156">
        <v>21424</v>
      </c>
      <c r="GZ12" s="157"/>
      <c r="HA12" s="156">
        <v>2209</v>
      </c>
      <c r="HB12" s="156">
        <v>15087</v>
      </c>
      <c r="HC12" s="157"/>
      <c r="HD12" s="156">
        <v>801</v>
      </c>
      <c r="HE12" s="156">
        <v>11187</v>
      </c>
      <c r="HF12" s="157"/>
      <c r="HG12" s="167">
        <v>21424</v>
      </c>
      <c r="HH12" s="167">
        <v>62003</v>
      </c>
      <c r="HI12" s="157"/>
      <c r="HJ12" s="157"/>
      <c r="HK12" s="157"/>
      <c r="HL12" s="157"/>
      <c r="HM12" s="157"/>
      <c r="HN12" s="157"/>
      <c r="HO12" s="157"/>
      <c r="HP12" s="157"/>
      <c r="HQ12" s="157"/>
      <c r="HR12" s="157"/>
      <c r="HS12" s="157"/>
      <c r="HT12" s="157"/>
      <c r="HU12" s="157"/>
      <c r="HV12" s="157"/>
      <c r="HW12" s="157"/>
      <c r="HX12" s="157"/>
      <c r="HY12" s="157"/>
      <c r="HZ12" s="157"/>
      <c r="IA12" s="157"/>
      <c r="IB12" s="157"/>
      <c r="IC12" s="157"/>
      <c r="ID12" s="157"/>
      <c r="IE12" s="157"/>
      <c r="IF12" s="157"/>
      <c r="IG12" s="157"/>
      <c r="IH12" s="157"/>
      <c r="II12" s="157"/>
      <c r="IJ12" s="157"/>
      <c r="IK12" s="157"/>
      <c r="IL12" s="157"/>
      <c r="IM12" s="157"/>
      <c r="IN12" s="157"/>
      <c r="IO12" s="157"/>
      <c r="IP12" s="157"/>
      <c r="IQ12" s="157"/>
      <c r="IR12" s="157"/>
      <c r="IS12" s="157"/>
      <c r="IT12" s="157"/>
      <c r="IU12" s="157"/>
      <c r="IV12" s="157"/>
      <c r="IW12" s="157"/>
      <c r="IX12" s="157"/>
      <c r="IY12" s="157"/>
      <c r="IZ12" s="157"/>
      <c r="JA12" s="157"/>
      <c r="JB12" s="157"/>
      <c r="JC12" s="157"/>
      <c r="JD12" s="157"/>
      <c r="JE12" s="157"/>
      <c r="JF12" s="157"/>
      <c r="JG12" s="157"/>
      <c r="JH12" s="157"/>
      <c r="JI12" s="157"/>
      <c r="JJ12" s="157"/>
      <c r="JK12" s="157"/>
      <c r="JL12" s="157"/>
      <c r="JM12" s="157"/>
      <c r="JN12" s="157"/>
      <c r="JO12" s="157"/>
      <c r="JP12" s="157"/>
      <c r="JQ12" s="157"/>
      <c r="JR12" s="157"/>
      <c r="JS12" s="157"/>
      <c r="JT12" s="157"/>
      <c r="JU12" s="157"/>
      <c r="JV12" s="157"/>
      <c r="JW12" s="157"/>
      <c r="JX12" s="157"/>
      <c r="JY12" s="157"/>
      <c r="JZ12" s="157"/>
      <c r="KA12" s="157"/>
      <c r="KB12" s="157"/>
      <c r="KC12" s="157"/>
      <c r="KD12" s="157"/>
      <c r="KE12" s="157"/>
      <c r="KF12" s="157"/>
      <c r="KG12" s="157"/>
      <c r="KH12" s="157"/>
      <c r="KI12" s="157"/>
      <c r="KJ12" s="157"/>
      <c r="KK12" s="157"/>
      <c r="KL12" s="157"/>
    </row>
    <row r="13" spans="1:298">
      <c r="CU13" s="368"/>
      <c r="CV13" s="339"/>
      <c r="CW13" s="339"/>
      <c r="CX13" s="368"/>
      <c r="CY13" s="339"/>
      <c r="CZ13" s="339"/>
      <c r="DA13" s="368"/>
      <c r="DB13" s="339"/>
      <c r="DC13" s="339"/>
      <c r="DD13" s="368"/>
      <c r="DE13" s="339"/>
      <c r="DF13" s="339"/>
      <c r="DG13" s="339"/>
      <c r="DH13" s="368"/>
      <c r="DI13" s="339"/>
      <c r="DJ13" s="339"/>
      <c r="DK13" s="368"/>
      <c r="DL13" s="339"/>
      <c r="DM13" s="339"/>
      <c r="DN13" s="368"/>
      <c r="DO13" s="339"/>
      <c r="DP13" s="339"/>
      <c r="EC13" s="368"/>
      <c r="ED13" s="339"/>
      <c r="EE13" s="339"/>
      <c r="EF13" s="368"/>
      <c r="EG13" s="339"/>
      <c r="EH13" s="339"/>
      <c r="EI13" s="368"/>
      <c r="EJ13" s="339"/>
      <c r="EK13" s="339"/>
      <c r="EL13" s="368"/>
      <c r="EM13" s="339"/>
      <c r="EN13" s="339"/>
      <c r="EO13" s="368"/>
      <c r="EP13" s="339"/>
      <c r="EQ13" s="339"/>
      <c r="ER13" s="368"/>
      <c r="ES13" s="339"/>
      <c r="ET13" s="339"/>
      <c r="EU13" s="368"/>
      <c r="EV13" s="339"/>
      <c r="EW13" s="339"/>
      <c r="EX13" s="368"/>
      <c r="EY13" s="339"/>
      <c r="EZ13" s="157"/>
      <c r="FA13" s="172"/>
      <c r="FB13" s="157"/>
      <c r="FC13" s="157"/>
      <c r="FD13" s="172"/>
      <c r="FE13" s="157"/>
      <c r="FF13" s="157"/>
      <c r="FG13" s="172"/>
      <c r="FH13" s="157"/>
      <c r="FI13" s="157"/>
      <c r="FJ13" s="157"/>
      <c r="FK13" s="157"/>
      <c r="FL13" s="157"/>
      <c r="FM13" s="172"/>
      <c r="FN13" s="157"/>
      <c r="FO13" s="157"/>
      <c r="FP13" s="157"/>
      <c r="FQ13" s="157"/>
      <c r="FR13" s="157"/>
      <c r="FS13" s="172"/>
      <c r="FT13" s="157"/>
      <c r="FU13" s="157"/>
      <c r="FV13" s="157"/>
      <c r="FW13" s="157"/>
      <c r="FX13" s="157"/>
      <c r="FY13" s="172"/>
      <c r="FZ13" s="157"/>
      <c r="GA13" s="157"/>
      <c r="GB13" s="157"/>
      <c r="GC13" s="157"/>
      <c r="GD13" s="157"/>
      <c r="GE13" s="157"/>
      <c r="GF13" s="157"/>
      <c r="GG13" s="157"/>
      <c r="GH13" s="157"/>
      <c r="GI13" s="157"/>
      <c r="GJ13" s="157"/>
      <c r="GK13" s="157"/>
      <c r="GL13" s="157"/>
      <c r="GM13" s="157"/>
      <c r="GN13" s="157"/>
      <c r="GO13" s="157"/>
      <c r="GP13" s="157"/>
      <c r="GQ13" s="157"/>
      <c r="GR13" s="157"/>
      <c r="GS13" s="157"/>
      <c r="GT13" s="157"/>
      <c r="GU13" s="157"/>
      <c r="GV13" s="157"/>
      <c r="GW13" s="163" t="s">
        <v>27</v>
      </c>
      <c r="GX13" s="156">
        <v>96346</v>
      </c>
      <c r="GY13" s="156">
        <v>82746</v>
      </c>
      <c r="GZ13" s="157"/>
      <c r="HA13" s="156">
        <v>52364</v>
      </c>
      <c r="HB13" s="156">
        <v>25216</v>
      </c>
      <c r="HC13" s="157"/>
      <c r="HD13" s="156">
        <v>40240</v>
      </c>
      <c r="HE13" s="156">
        <v>12650</v>
      </c>
      <c r="HF13" s="157"/>
      <c r="HG13" s="167">
        <v>82746</v>
      </c>
      <c r="HH13" s="167">
        <v>21554</v>
      </c>
      <c r="HI13" s="157"/>
      <c r="HJ13" s="157"/>
      <c r="HK13" s="157"/>
      <c r="HL13" s="157"/>
      <c r="HM13" s="157"/>
      <c r="HN13" s="157"/>
      <c r="HO13" s="157"/>
      <c r="HP13" s="157"/>
      <c r="HQ13" s="157"/>
      <c r="HR13" s="157"/>
      <c r="HS13" s="157"/>
      <c r="HT13" s="157"/>
      <c r="HU13" s="157"/>
      <c r="HV13" s="157"/>
      <c r="HW13" s="157"/>
      <c r="HX13" s="157"/>
      <c r="HY13" s="157"/>
      <c r="HZ13" s="157"/>
      <c r="IA13" s="157"/>
      <c r="IB13" s="157"/>
      <c r="IC13" s="157"/>
      <c r="ID13" s="157"/>
      <c r="IE13" s="157"/>
      <c r="IF13" s="157"/>
      <c r="IG13" s="157"/>
      <c r="IH13" s="157"/>
      <c r="II13" s="157"/>
      <c r="IJ13" s="157"/>
      <c r="IK13" s="157"/>
      <c r="IL13" s="157"/>
      <c r="IM13" s="157"/>
      <c r="IN13" s="157"/>
      <c r="IO13" s="157"/>
      <c r="IP13" s="157"/>
      <c r="IQ13" s="157"/>
      <c r="IR13" s="157"/>
      <c r="IS13" s="157"/>
      <c r="IT13" s="157"/>
      <c r="IU13" s="157"/>
      <c r="IV13" s="157"/>
      <c r="IW13" s="157"/>
      <c r="IX13" s="157"/>
      <c r="IY13" s="157"/>
      <c r="IZ13" s="157"/>
      <c r="JA13" s="157"/>
      <c r="JB13" s="157"/>
      <c r="JC13" s="157"/>
      <c r="JD13" s="157"/>
      <c r="JE13" s="157"/>
      <c r="JF13" s="157"/>
      <c r="JG13" s="157"/>
      <c r="JH13" s="157"/>
      <c r="JI13" s="157"/>
      <c r="JJ13" s="157"/>
      <c r="JK13" s="157"/>
      <c r="JL13" s="157"/>
      <c r="JM13" s="157"/>
      <c r="JN13" s="157"/>
      <c r="JO13" s="157"/>
      <c r="JP13" s="157"/>
      <c r="JQ13" s="157"/>
      <c r="JR13" s="157"/>
      <c r="JS13" s="157"/>
      <c r="JT13" s="157"/>
      <c r="JU13" s="157"/>
      <c r="JV13" s="157"/>
      <c r="JW13" s="157"/>
      <c r="JX13" s="157"/>
      <c r="JY13" s="157"/>
      <c r="JZ13" s="157"/>
      <c r="KA13" s="157"/>
      <c r="KB13" s="157"/>
      <c r="KC13" s="157"/>
      <c r="KD13" s="157"/>
      <c r="KE13" s="157"/>
      <c r="KF13" s="157"/>
      <c r="KG13" s="157"/>
      <c r="KH13" s="157"/>
      <c r="KI13" s="157"/>
      <c r="KJ13" s="157"/>
      <c r="KK13" s="157"/>
      <c r="KL13" s="157"/>
    </row>
    <row r="14" spans="1:298">
      <c r="A14" s="66"/>
      <c r="B14" s="66"/>
      <c r="C14" s="668"/>
      <c r="D14" s="671"/>
      <c r="E14" s="666"/>
      <c r="F14" s="668"/>
      <c r="G14" s="671"/>
      <c r="H14" s="66"/>
      <c r="I14" s="668"/>
      <c r="J14" s="671"/>
      <c r="K14" s="666"/>
      <c r="L14" s="668"/>
      <c r="M14" s="671"/>
      <c r="N14" s="666"/>
      <c r="O14" s="668"/>
      <c r="P14" s="671"/>
      <c r="Q14" s="666"/>
      <c r="R14" s="668"/>
      <c r="S14" s="671"/>
      <c r="T14" s="666"/>
      <c r="U14" s="668"/>
      <c r="V14" s="671"/>
      <c r="W14" s="666"/>
      <c r="X14" s="609"/>
      <c r="Y14" s="629"/>
      <c r="Z14" s="624"/>
      <c r="AA14" s="609"/>
      <c r="AB14" s="629"/>
      <c r="AC14" s="624"/>
      <c r="AD14" s="609"/>
      <c r="AE14" s="629"/>
      <c r="AF14" s="624"/>
      <c r="AG14" s="609"/>
      <c r="AH14" s="629"/>
      <c r="AI14" s="624"/>
      <c r="AJ14" s="609"/>
      <c r="AK14" s="629"/>
      <c r="AL14" s="624"/>
      <c r="AM14" s="609"/>
      <c r="AN14" s="629"/>
      <c r="AO14" s="624"/>
      <c r="AP14" s="336"/>
      <c r="AQ14" s="156"/>
      <c r="AR14" s="66"/>
      <c r="AS14" s="336"/>
      <c r="AT14" s="156"/>
      <c r="AU14" s="66"/>
      <c r="AV14" s="336"/>
      <c r="AW14" s="156"/>
      <c r="AX14" s="66"/>
      <c r="AY14" s="336"/>
      <c r="AZ14" s="156"/>
      <c r="BA14" s="66"/>
      <c r="BB14" s="336"/>
      <c r="BC14" s="156"/>
      <c r="BD14" s="163"/>
      <c r="BE14" s="336"/>
      <c r="BF14" s="156"/>
      <c r="BG14" s="163"/>
      <c r="BH14" s="336"/>
      <c r="BI14" s="156"/>
      <c r="BJ14" s="163"/>
      <c r="BK14" s="336"/>
      <c r="BL14" s="156"/>
      <c r="BM14" s="163"/>
      <c r="BN14" s="336"/>
      <c r="BO14" s="156"/>
      <c r="BP14" s="163"/>
      <c r="BQ14" s="336"/>
      <c r="BR14" s="156"/>
      <c r="BS14" s="163"/>
      <c r="BT14" s="336"/>
      <c r="BU14" s="156"/>
      <c r="BV14" s="163"/>
      <c r="BW14" s="336"/>
      <c r="BX14" s="156"/>
      <c r="BY14" s="163"/>
      <c r="BZ14" s="336"/>
      <c r="CA14" s="156"/>
      <c r="CB14" s="163"/>
      <c r="CC14" s="336"/>
      <c r="CD14" s="156"/>
      <c r="CE14" s="163"/>
      <c r="CF14" s="336"/>
      <c r="CG14" s="156"/>
      <c r="CH14" s="163"/>
      <c r="CI14" s="336"/>
      <c r="CJ14" s="156"/>
      <c r="CK14" s="163"/>
      <c r="CL14" s="336"/>
      <c r="CM14" s="156"/>
      <c r="CN14" s="163"/>
      <c r="CO14" s="336"/>
      <c r="CP14" s="156"/>
      <c r="CQ14" s="163"/>
      <c r="CR14" s="336"/>
      <c r="CS14" s="156"/>
      <c r="CT14" s="163"/>
      <c r="CU14" s="336"/>
      <c r="CV14" s="156"/>
      <c r="CW14" s="66"/>
      <c r="CX14" s="336"/>
      <c r="CY14" s="156"/>
      <c r="CZ14" s="66"/>
      <c r="DA14" s="336"/>
      <c r="DB14" s="156"/>
      <c r="DC14" s="66"/>
      <c r="DD14" s="336"/>
      <c r="DE14" s="156"/>
      <c r="DF14" s="66"/>
      <c r="DG14" s="66"/>
      <c r="DH14" s="336"/>
      <c r="DI14" s="156"/>
      <c r="DJ14" s="66"/>
      <c r="DK14" s="336"/>
      <c r="DL14" s="156"/>
      <c r="DM14" s="66"/>
      <c r="DN14" s="336"/>
      <c r="DO14" s="156"/>
      <c r="DP14" s="163"/>
      <c r="DQ14" s="341"/>
      <c r="DR14" s="144"/>
      <c r="DS14" s="366"/>
      <c r="DT14" s="341"/>
      <c r="DU14" s="144"/>
      <c r="DV14" s="366"/>
      <c r="DW14" s="341"/>
      <c r="DX14" s="144"/>
      <c r="DY14" s="366"/>
      <c r="DZ14" s="341"/>
      <c r="EA14" s="144"/>
      <c r="EB14" s="366"/>
      <c r="EC14" s="166"/>
      <c r="ED14" s="156"/>
      <c r="EE14" s="163"/>
      <c r="EF14" s="166"/>
      <c r="EG14" s="156"/>
      <c r="EH14" s="163"/>
      <c r="EI14" s="166"/>
      <c r="EJ14" s="156"/>
      <c r="EK14" s="163"/>
      <c r="EL14" s="166"/>
      <c r="EM14" s="156"/>
      <c r="EN14" s="66"/>
      <c r="EO14" s="166"/>
      <c r="EP14" s="156"/>
      <c r="EQ14" s="163"/>
      <c r="ER14" s="166"/>
      <c r="ES14" s="156"/>
      <c r="ET14" s="163"/>
      <c r="EU14" s="166"/>
      <c r="EV14" s="156"/>
      <c r="EW14" s="163"/>
      <c r="EX14" s="166"/>
      <c r="EY14" s="156"/>
      <c r="EZ14" s="163"/>
      <c r="FA14" s="166"/>
      <c r="FB14" s="156"/>
      <c r="FC14" s="163"/>
      <c r="FD14" s="166"/>
      <c r="FE14" s="156"/>
      <c r="FF14" s="163"/>
      <c r="FG14" s="166"/>
      <c r="FH14" s="156"/>
      <c r="FI14" s="163"/>
      <c r="FJ14" s="156"/>
      <c r="FK14" s="156"/>
      <c r="FL14" s="163"/>
      <c r="FM14" s="166"/>
      <c r="FN14" s="156"/>
      <c r="FO14" s="163"/>
      <c r="FP14" s="156"/>
      <c r="FQ14" s="156"/>
      <c r="FR14" s="163"/>
      <c r="FS14" s="166"/>
      <c r="FT14" s="156"/>
      <c r="FU14" s="163"/>
      <c r="FV14" s="156"/>
      <c r="FW14" s="156"/>
      <c r="FX14" s="163"/>
      <c r="FY14" s="166"/>
      <c r="FZ14" s="156"/>
      <c r="GA14" s="163"/>
      <c r="GB14" s="156"/>
      <c r="GC14" s="156"/>
      <c r="GD14" s="163"/>
      <c r="GE14" s="156"/>
      <c r="GF14" s="156"/>
      <c r="GG14" s="163"/>
      <c r="GH14" s="156"/>
      <c r="GI14" s="156"/>
      <c r="GJ14" s="157"/>
      <c r="GK14" s="156"/>
      <c r="GL14" s="156"/>
      <c r="GM14" s="157"/>
      <c r="GN14" s="156"/>
      <c r="GO14" s="156"/>
      <c r="GP14" s="157"/>
      <c r="GQ14" s="156"/>
      <c r="GR14" s="156"/>
      <c r="GS14" s="157"/>
      <c r="GT14" s="156"/>
      <c r="GU14" s="156"/>
      <c r="GV14" s="157"/>
      <c r="GW14" s="173" t="s">
        <v>26</v>
      </c>
      <c r="GX14" s="170">
        <v>8611</v>
      </c>
      <c r="GY14" s="170">
        <v>8093</v>
      </c>
      <c r="GZ14" s="157"/>
      <c r="HA14" s="170">
        <v>4580</v>
      </c>
      <c r="HB14" s="170">
        <v>5531</v>
      </c>
      <c r="HC14" s="157"/>
      <c r="HD14" s="170">
        <v>2977</v>
      </c>
      <c r="HE14" s="170">
        <v>3686</v>
      </c>
      <c r="HF14" s="157"/>
      <c r="HG14" s="174">
        <v>8093</v>
      </c>
      <c r="HH14" s="174">
        <v>15588</v>
      </c>
      <c r="HI14" s="157"/>
      <c r="HJ14" s="157"/>
      <c r="HK14" s="157"/>
      <c r="HL14" s="157"/>
      <c r="HM14" s="157"/>
      <c r="HN14" s="157"/>
      <c r="HO14" s="157"/>
      <c r="HP14" s="157"/>
      <c r="HQ14" s="157"/>
      <c r="HR14" s="157"/>
      <c r="HS14" s="157"/>
      <c r="HT14" s="157"/>
      <c r="HU14" s="157"/>
      <c r="HV14" s="157"/>
      <c r="HW14" s="157"/>
      <c r="HX14" s="157"/>
      <c r="HY14" s="157"/>
      <c r="HZ14" s="157"/>
      <c r="IA14" s="157"/>
      <c r="IB14" s="157"/>
      <c r="IC14" s="157"/>
      <c r="ID14" s="157"/>
      <c r="IE14" s="157"/>
      <c r="IF14" s="157"/>
      <c r="IG14" s="157"/>
      <c r="IH14" s="157"/>
      <c r="II14" s="157"/>
      <c r="IJ14" s="157"/>
      <c r="IK14" s="157"/>
      <c r="IL14" s="157"/>
      <c r="IM14" s="157"/>
      <c r="IN14" s="157"/>
      <c r="IO14" s="157"/>
      <c r="IP14" s="157"/>
      <c r="IQ14" s="157"/>
      <c r="IR14" s="157"/>
      <c r="IS14" s="157"/>
      <c r="IT14" s="157"/>
      <c r="IU14" s="157"/>
      <c r="IV14" s="157"/>
      <c r="IW14" s="157"/>
      <c r="IX14" s="157"/>
      <c r="IY14" s="157"/>
      <c r="IZ14" s="157"/>
      <c r="JA14" s="157"/>
      <c r="JB14" s="157"/>
      <c r="JC14" s="157"/>
      <c r="JD14" s="157"/>
      <c r="JE14" s="157"/>
      <c r="JF14" s="157"/>
      <c r="JG14" s="157"/>
      <c r="JH14" s="157"/>
      <c r="JI14" s="157"/>
      <c r="JJ14" s="157"/>
      <c r="JK14" s="157"/>
      <c r="JL14" s="157"/>
      <c r="JM14" s="157"/>
      <c r="JN14" s="157"/>
      <c r="JO14" s="157"/>
      <c r="JP14" s="157"/>
      <c r="JQ14" s="157"/>
      <c r="JR14" s="157"/>
      <c r="JS14" s="157"/>
      <c r="JT14" s="157"/>
      <c r="JU14" s="157"/>
      <c r="JV14" s="157"/>
      <c r="JW14" s="157"/>
      <c r="JX14" s="157"/>
      <c r="JY14" s="157"/>
      <c r="JZ14" s="157"/>
      <c r="KA14" s="157"/>
      <c r="KB14" s="157"/>
      <c r="KC14" s="157"/>
      <c r="KD14" s="157"/>
      <c r="KE14" s="157"/>
      <c r="KF14" s="157"/>
      <c r="KG14" s="157"/>
      <c r="KH14" s="157"/>
      <c r="KI14" s="157"/>
      <c r="KJ14" s="157"/>
      <c r="KK14" s="157"/>
      <c r="KL14" s="157"/>
    </row>
    <row r="15" spans="1:298">
      <c r="EL15" s="172"/>
      <c r="EM15" s="157"/>
      <c r="EO15" s="172"/>
      <c r="EP15" s="157"/>
      <c r="EQ15" s="157"/>
      <c r="ER15" s="172"/>
      <c r="ES15" s="157"/>
      <c r="ET15" s="157"/>
      <c r="EU15" s="172"/>
      <c r="EV15" s="157"/>
      <c r="EW15" s="157"/>
      <c r="EX15" s="172"/>
      <c r="EY15" s="157"/>
      <c r="EZ15" s="157"/>
      <c r="FA15" s="172"/>
      <c r="FB15" s="157"/>
      <c r="FC15" s="157"/>
      <c r="FD15" s="172"/>
      <c r="FE15" s="157"/>
      <c r="FF15" s="157"/>
      <c r="FG15" s="172"/>
      <c r="FH15" s="157"/>
      <c r="FI15" s="157"/>
      <c r="FJ15" s="157"/>
      <c r="FK15" s="157"/>
      <c r="FL15" s="157"/>
      <c r="FM15" s="172"/>
      <c r="FN15" s="157"/>
      <c r="FO15" s="157"/>
      <c r="FP15" s="157"/>
      <c r="FQ15" s="157"/>
      <c r="FR15" s="157"/>
      <c r="FS15" s="172"/>
      <c r="FT15" s="157"/>
      <c r="FU15" s="157"/>
      <c r="FV15" s="157"/>
      <c r="FW15" s="157"/>
      <c r="FX15" s="157"/>
      <c r="FY15" s="172"/>
      <c r="FZ15" s="157"/>
      <c r="GA15" s="157"/>
      <c r="GB15" s="157"/>
      <c r="GC15" s="157"/>
      <c r="GD15" s="157"/>
      <c r="GE15" s="157"/>
      <c r="GF15" s="157"/>
      <c r="GG15" s="157"/>
      <c r="GH15" s="157"/>
      <c r="GI15" s="157"/>
      <c r="GJ15" s="157"/>
      <c r="GK15" s="157"/>
      <c r="GL15" s="157"/>
      <c r="GM15" s="157"/>
      <c r="GN15" s="157"/>
      <c r="GO15" s="157"/>
      <c r="GP15" s="157"/>
      <c r="GQ15" s="157"/>
      <c r="GR15" s="157"/>
      <c r="GS15" s="157"/>
      <c r="GT15" s="157"/>
      <c r="GU15" s="157"/>
      <c r="GV15" s="157"/>
      <c r="GW15" s="157"/>
      <c r="GX15" s="156">
        <f>SUM(GX4:GX14)</f>
        <v>3089592</v>
      </c>
      <c r="GY15" s="156">
        <f>SUM(GY4:GY14)</f>
        <v>3779555</v>
      </c>
      <c r="GZ15" s="157"/>
      <c r="HA15" s="156">
        <f>SUM(HA4:HA14)</f>
        <v>2010204</v>
      </c>
      <c r="HB15" s="156">
        <f>SUM(HB4:HB14)</f>
        <v>2368393</v>
      </c>
      <c r="HC15" s="157"/>
      <c r="HD15" s="156">
        <f>SUM(HD4:HD14)</f>
        <v>1250077</v>
      </c>
      <c r="HE15" s="156">
        <f>SUM(HE4:HE14)</f>
        <v>1349942</v>
      </c>
      <c r="HF15" s="157"/>
      <c r="HG15" s="156">
        <f>SUM(HG4:HG14)</f>
        <v>3779555</v>
      </c>
      <c r="HH15" s="156">
        <f>SUM(HH4:HH14)</f>
        <v>3471504</v>
      </c>
      <c r="HI15" s="157"/>
      <c r="HJ15" s="157"/>
      <c r="HK15" s="157"/>
      <c r="HL15" s="157"/>
      <c r="HM15" s="157"/>
      <c r="HN15" s="157"/>
      <c r="HO15" s="157"/>
      <c r="HP15" s="157"/>
      <c r="HQ15" s="157"/>
      <c r="HR15" s="157"/>
      <c r="HS15" s="157"/>
      <c r="HT15" s="157"/>
      <c r="HU15" s="157"/>
      <c r="HV15" s="157"/>
      <c r="HW15" s="157"/>
      <c r="HX15" s="157"/>
      <c r="HY15" s="157"/>
      <c r="HZ15" s="157"/>
      <c r="IA15" s="157"/>
      <c r="IB15" s="157"/>
      <c r="IC15" s="157"/>
      <c r="ID15" s="157"/>
      <c r="IE15" s="157"/>
      <c r="IF15" s="157"/>
      <c r="IG15" s="157"/>
      <c r="IH15" s="157"/>
      <c r="II15" s="157"/>
      <c r="IJ15" s="157"/>
      <c r="IK15" s="157"/>
      <c r="IL15" s="157"/>
      <c r="IM15" s="157"/>
      <c r="IN15" s="157"/>
      <c r="IO15" s="157"/>
      <c r="IP15" s="157"/>
      <c r="IQ15" s="157"/>
      <c r="IR15" s="157"/>
      <c r="IS15" s="157"/>
      <c r="IT15" s="157"/>
      <c r="IU15" s="157"/>
      <c r="IV15" s="157"/>
      <c r="IW15" s="157"/>
      <c r="IX15" s="157"/>
      <c r="IY15" s="157"/>
      <c r="IZ15" s="157"/>
      <c r="JA15" s="157"/>
      <c r="JB15" s="157"/>
      <c r="JC15" s="157"/>
      <c r="JD15" s="157"/>
      <c r="JE15" s="157"/>
      <c r="JF15" s="157"/>
      <c r="JG15" s="157"/>
      <c r="JH15" s="157"/>
      <c r="JI15" s="157"/>
      <c r="JJ15" s="157"/>
      <c r="JK15" s="157"/>
      <c r="JL15" s="157"/>
      <c r="JM15" s="157"/>
      <c r="JN15" s="157"/>
      <c r="JO15" s="157"/>
      <c r="JP15" s="157"/>
      <c r="JQ15" s="157"/>
      <c r="JR15" s="157"/>
      <c r="JS15" s="157"/>
      <c r="JT15" s="157"/>
      <c r="JU15" s="157"/>
      <c r="JV15" s="157"/>
      <c r="JW15" s="157"/>
      <c r="JX15" s="157"/>
      <c r="JY15" s="157"/>
      <c r="JZ15" s="157"/>
      <c r="KA15" s="157"/>
      <c r="KB15" s="157"/>
      <c r="KC15" s="157"/>
      <c r="KD15" s="157"/>
      <c r="KE15" s="157"/>
      <c r="KF15" s="157"/>
      <c r="KG15" s="157"/>
      <c r="KH15" s="157"/>
      <c r="KI15" s="157"/>
      <c r="KJ15" s="157"/>
      <c r="KK15" s="157"/>
      <c r="KL15" s="157"/>
    </row>
    <row r="16" spans="1:298">
      <c r="C16" s="132"/>
      <c r="D16" s="507"/>
      <c r="F16" s="132"/>
      <c r="G16" s="507"/>
      <c r="I16" s="132"/>
      <c r="J16" s="507"/>
      <c r="L16" s="132"/>
      <c r="M16" s="507"/>
      <c r="O16" s="132"/>
      <c r="P16" s="507"/>
      <c r="R16" s="132"/>
      <c r="S16" s="507"/>
      <c r="U16" s="132"/>
      <c r="V16" s="507"/>
      <c r="X16" s="132"/>
      <c r="Y16" s="507"/>
      <c r="AA16" s="132"/>
      <c r="AB16" s="507"/>
      <c r="AD16" s="132"/>
      <c r="AE16" s="507"/>
      <c r="AG16" s="132"/>
      <c r="AH16" s="507"/>
      <c r="AJ16" s="132"/>
      <c r="AK16" s="507"/>
      <c r="AM16" s="132"/>
      <c r="AN16" s="507"/>
      <c r="AP16" s="132"/>
      <c r="AQ16" s="507"/>
      <c r="AS16" s="132"/>
      <c r="AT16" s="507"/>
      <c r="AV16" s="132"/>
      <c r="AW16" s="507"/>
      <c r="AY16" s="132"/>
      <c r="AZ16" s="507"/>
      <c r="BB16" s="132"/>
      <c r="BC16" s="507"/>
      <c r="BE16" s="132"/>
      <c r="BF16" s="507"/>
      <c r="BH16" s="132"/>
      <c r="BI16" s="507"/>
      <c r="BK16" s="132"/>
      <c r="BL16" s="507"/>
      <c r="BN16" s="132"/>
      <c r="BO16" s="507"/>
      <c r="BQ16" s="132"/>
      <c r="BR16" s="507"/>
      <c r="BT16" s="132"/>
      <c r="BU16" s="507"/>
      <c r="BW16" s="132"/>
      <c r="BX16" s="507"/>
      <c r="BZ16" s="132"/>
      <c r="CA16" s="507"/>
      <c r="CF16" s="132"/>
      <c r="CG16" s="507"/>
      <c r="CL16" s="132"/>
      <c r="CM16" s="507"/>
      <c r="EL16" s="172"/>
      <c r="EM16" s="157"/>
      <c r="EO16" s="172"/>
      <c r="EP16" s="157"/>
      <c r="EQ16" s="157"/>
      <c r="ER16" s="172"/>
      <c r="ES16" s="157"/>
      <c r="ET16" s="157"/>
      <c r="EU16" s="172"/>
      <c r="EV16" s="157"/>
      <c r="EW16" s="157"/>
      <c r="EX16" s="172"/>
      <c r="EY16" s="157"/>
      <c r="EZ16" s="157"/>
      <c r="FA16" s="172"/>
      <c r="FB16" s="157"/>
      <c r="FC16" s="157"/>
      <c r="FD16" s="172"/>
      <c r="FE16" s="157"/>
      <c r="FF16" s="157"/>
      <c r="FG16" s="172"/>
      <c r="FH16" s="157"/>
      <c r="FI16" s="157"/>
      <c r="FJ16" s="157"/>
      <c r="FK16" s="157"/>
      <c r="FL16" s="157"/>
      <c r="FM16" s="172"/>
      <c r="FN16" s="157"/>
      <c r="FO16" s="157"/>
      <c r="FP16" s="157"/>
      <c r="FQ16" s="157"/>
      <c r="FR16" s="157"/>
      <c r="FS16" s="172"/>
      <c r="FT16" s="157"/>
      <c r="FU16" s="157"/>
      <c r="FV16" s="157"/>
      <c r="FW16" s="157"/>
      <c r="FX16" s="157"/>
      <c r="FY16" s="172"/>
      <c r="FZ16" s="157"/>
      <c r="GA16" s="157"/>
      <c r="GB16" s="157"/>
      <c r="GC16" s="157"/>
      <c r="GD16" s="157"/>
      <c r="GE16" s="157"/>
      <c r="GF16" s="157"/>
      <c r="GG16" s="157"/>
      <c r="GH16" s="157"/>
      <c r="GI16" s="157"/>
      <c r="GJ16" s="157"/>
      <c r="GK16" s="157"/>
      <c r="GL16" s="157"/>
      <c r="GM16" s="157"/>
      <c r="GN16" s="157"/>
      <c r="GO16" s="157"/>
      <c r="GP16" s="157"/>
      <c r="GQ16" s="157"/>
      <c r="GR16" s="157"/>
      <c r="GS16" s="157"/>
      <c r="GT16" s="157"/>
      <c r="GU16" s="157"/>
      <c r="GV16" s="157"/>
      <c r="GW16" s="157"/>
      <c r="GX16" s="157"/>
      <c r="GY16" s="157"/>
      <c r="GZ16" s="157"/>
      <c r="HA16" s="157"/>
      <c r="HB16" s="157"/>
      <c r="HC16" s="157"/>
      <c r="HD16" s="157"/>
      <c r="HE16" s="157"/>
      <c r="HF16" s="157"/>
      <c r="HG16" s="157"/>
      <c r="HH16" s="157"/>
      <c r="HI16" s="157"/>
      <c r="HJ16" s="157"/>
      <c r="HK16" s="157"/>
      <c r="HL16" s="157"/>
      <c r="HM16" s="157"/>
      <c r="HN16" s="157"/>
      <c r="HO16" s="157"/>
      <c r="HP16" s="157"/>
      <c r="HQ16" s="157"/>
      <c r="HR16" s="157"/>
      <c r="HS16" s="157"/>
      <c r="HT16" s="157"/>
      <c r="HU16" s="157"/>
      <c r="HV16" s="157"/>
      <c r="HW16" s="157"/>
      <c r="HX16" s="157"/>
      <c r="HY16" s="157"/>
      <c r="HZ16" s="157"/>
      <c r="IA16" s="157"/>
      <c r="IB16" s="157"/>
      <c r="IC16" s="157"/>
      <c r="ID16" s="157"/>
      <c r="IE16" s="157"/>
      <c r="IF16" s="157"/>
      <c r="IG16" s="157"/>
      <c r="IH16" s="157"/>
      <c r="II16" s="157"/>
      <c r="IJ16" s="157"/>
      <c r="IK16" s="157"/>
      <c r="IL16" s="157"/>
      <c r="IM16" s="157"/>
      <c r="IN16" s="157"/>
      <c r="IO16" s="157"/>
      <c r="IP16" s="157"/>
      <c r="IQ16" s="157"/>
      <c r="IR16" s="157"/>
      <c r="IS16" s="157"/>
      <c r="IT16" s="157"/>
      <c r="IU16" s="157"/>
      <c r="IV16" s="157"/>
      <c r="IW16" s="157"/>
      <c r="IX16" s="157"/>
      <c r="IY16" s="157"/>
      <c r="IZ16" s="157"/>
      <c r="JA16" s="157"/>
      <c r="JB16" s="157"/>
      <c r="JC16" s="157"/>
      <c r="JD16" s="157"/>
      <c r="JE16" s="157"/>
      <c r="JF16" s="157"/>
      <c r="JG16" s="157"/>
      <c r="JH16" s="157"/>
      <c r="JI16" s="157"/>
      <c r="JJ16" s="157"/>
      <c r="JK16" s="157"/>
      <c r="JL16" s="157"/>
      <c r="JM16" s="157"/>
      <c r="JN16" s="157"/>
      <c r="JO16" s="157"/>
      <c r="JP16" s="157"/>
      <c r="JQ16" s="157"/>
      <c r="JR16" s="157"/>
      <c r="JS16" s="157"/>
      <c r="JT16" s="157"/>
      <c r="JU16" s="157"/>
      <c r="JV16" s="157"/>
      <c r="JW16" s="157"/>
      <c r="JX16" s="157"/>
      <c r="JY16" s="157"/>
      <c r="JZ16" s="157"/>
      <c r="KA16" s="157"/>
      <c r="KB16" s="157"/>
      <c r="KC16" s="157"/>
      <c r="KD16" s="157"/>
      <c r="KE16" s="157"/>
      <c r="KF16" s="157"/>
      <c r="KG16" s="157"/>
      <c r="KH16" s="157"/>
      <c r="KI16" s="157"/>
      <c r="KJ16" s="157"/>
      <c r="KK16" s="157"/>
      <c r="KL16" s="157"/>
    </row>
    <row r="17" spans="142:298">
      <c r="EL17" s="172"/>
      <c r="EM17" s="157"/>
      <c r="EO17" s="172"/>
      <c r="EP17" s="157"/>
      <c r="EQ17" s="157"/>
      <c r="ER17" s="172"/>
      <c r="ES17" s="157"/>
      <c r="ET17" s="157"/>
      <c r="EU17" s="172"/>
      <c r="EV17" s="157"/>
      <c r="EW17" s="157"/>
      <c r="EX17" s="172"/>
      <c r="EY17" s="157"/>
      <c r="EZ17" s="157"/>
      <c r="FA17" s="172"/>
      <c r="FB17" s="157"/>
      <c r="FC17" s="157"/>
      <c r="FD17" s="172"/>
      <c r="FE17" s="157"/>
      <c r="FF17" s="157"/>
      <c r="FG17" s="172"/>
      <c r="FH17" s="157"/>
      <c r="FI17" s="157"/>
      <c r="FJ17" s="157"/>
      <c r="FK17" s="157"/>
      <c r="FL17" s="157"/>
      <c r="FM17" s="172"/>
      <c r="FN17" s="157"/>
      <c r="FO17" s="157"/>
      <c r="FP17" s="157"/>
      <c r="FQ17" s="157"/>
      <c r="FR17" s="157"/>
      <c r="FS17" s="172"/>
      <c r="FT17" s="157"/>
      <c r="FU17" s="157"/>
      <c r="FV17" s="157"/>
      <c r="FW17" s="157"/>
      <c r="FX17" s="157"/>
      <c r="FY17" s="172"/>
      <c r="FZ17" s="157"/>
      <c r="GA17" s="157"/>
      <c r="GB17" s="157"/>
      <c r="GC17" s="157"/>
      <c r="GD17" s="157"/>
      <c r="GE17" s="157"/>
      <c r="GF17" s="157"/>
      <c r="GG17" s="157"/>
      <c r="GH17" s="157"/>
      <c r="GI17" s="157"/>
      <c r="GJ17" s="157"/>
      <c r="GK17" s="157"/>
      <c r="GL17" s="157"/>
      <c r="GM17" s="157"/>
      <c r="GN17" s="157"/>
      <c r="GO17" s="157"/>
      <c r="GP17" s="157"/>
      <c r="GQ17" s="157"/>
      <c r="GR17" s="157"/>
      <c r="GS17" s="157"/>
      <c r="GT17" s="157"/>
      <c r="GU17" s="157"/>
      <c r="GV17" s="157"/>
      <c r="GW17" s="159" t="s">
        <v>374</v>
      </c>
      <c r="GX17" s="160" t="s">
        <v>292</v>
      </c>
      <c r="GY17" s="160" t="s">
        <v>293</v>
      </c>
      <c r="GZ17" s="157"/>
      <c r="HA17" s="160" t="s">
        <v>294</v>
      </c>
      <c r="HB17" s="160" t="s">
        <v>295</v>
      </c>
      <c r="HC17" s="157"/>
      <c r="HD17" s="160" t="s">
        <v>296</v>
      </c>
      <c r="HE17" s="160" t="s">
        <v>297</v>
      </c>
      <c r="HF17" s="157"/>
      <c r="HG17" s="157"/>
      <c r="HH17" s="157"/>
      <c r="HI17" s="157"/>
      <c r="HJ17" s="157"/>
      <c r="HK17" s="157"/>
      <c r="HL17" s="157"/>
      <c r="HM17" s="157"/>
      <c r="HN17" s="157"/>
      <c r="HO17" s="157"/>
      <c r="HP17" s="157"/>
      <c r="HQ17" s="157"/>
      <c r="HR17" s="157"/>
      <c r="HS17" s="157"/>
      <c r="HT17" s="157"/>
      <c r="HU17" s="157"/>
      <c r="HV17" s="157"/>
      <c r="HW17" s="157"/>
      <c r="HX17" s="157"/>
      <c r="HY17" s="157"/>
      <c r="HZ17" s="157"/>
      <c r="IA17" s="157"/>
      <c r="IB17" s="157"/>
      <c r="IC17" s="157"/>
      <c r="ID17" s="157"/>
      <c r="IE17" s="157"/>
      <c r="IF17" s="157"/>
      <c r="IG17" s="157"/>
      <c r="IH17" s="157"/>
      <c r="II17" s="157"/>
      <c r="IJ17" s="157"/>
      <c r="IK17" s="157"/>
      <c r="IL17" s="157"/>
      <c r="IM17" s="157"/>
      <c r="IN17" s="157"/>
      <c r="IO17" s="157"/>
      <c r="IP17" s="157"/>
      <c r="IQ17" s="157"/>
      <c r="IR17" s="157"/>
      <c r="IS17" s="157"/>
      <c r="IT17" s="157"/>
      <c r="IU17" s="157"/>
      <c r="IV17" s="157"/>
      <c r="IW17" s="157"/>
      <c r="IX17" s="157"/>
      <c r="IY17" s="157"/>
      <c r="IZ17" s="157"/>
      <c r="JA17" s="157"/>
      <c r="JB17" s="157"/>
      <c r="JC17" s="157"/>
      <c r="JD17" s="157"/>
      <c r="JE17" s="157"/>
      <c r="JF17" s="157"/>
      <c r="JG17" s="157"/>
      <c r="JH17" s="157"/>
      <c r="JI17" s="157"/>
      <c r="JJ17" s="157"/>
      <c r="JK17" s="157"/>
      <c r="JL17" s="157"/>
      <c r="JM17" s="157"/>
      <c r="JN17" s="157"/>
      <c r="JO17" s="157"/>
      <c r="JP17" s="157"/>
      <c r="JQ17" s="157"/>
      <c r="JR17" s="157"/>
      <c r="JS17" s="157"/>
      <c r="JT17" s="157"/>
      <c r="JU17" s="157"/>
      <c r="JV17" s="157"/>
      <c r="JW17" s="157"/>
      <c r="JX17" s="157"/>
      <c r="JY17" s="157"/>
      <c r="JZ17" s="157"/>
      <c r="KA17" s="157"/>
      <c r="KB17" s="157"/>
      <c r="KC17" s="157"/>
      <c r="KD17" s="157"/>
      <c r="KE17" s="157"/>
      <c r="KF17" s="157"/>
      <c r="KG17" s="157"/>
      <c r="KH17" s="157"/>
      <c r="KI17" s="157"/>
      <c r="KJ17" s="157"/>
      <c r="KK17" s="157"/>
      <c r="KL17" s="157"/>
    </row>
    <row r="18" spans="142:298">
      <c r="EL18" s="172"/>
      <c r="EM18" s="157"/>
      <c r="EO18" s="172"/>
      <c r="EP18" s="157"/>
      <c r="EQ18" s="157"/>
      <c r="ER18" s="172"/>
      <c r="ES18" s="157"/>
      <c r="ET18" s="157"/>
      <c r="EU18" s="172"/>
      <c r="EV18" s="157"/>
      <c r="EW18" s="157"/>
      <c r="EX18" s="172"/>
      <c r="EY18" s="157"/>
      <c r="EZ18" s="157"/>
      <c r="FA18" s="172"/>
      <c r="FB18" s="157"/>
      <c r="FC18" s="157"/>
      <c r="FD18" s="172"/>
      <c r="FE18" s="157"/>
      <c r="FF18" s="157"/>
      <c r="FG18" s="172"/>
      <c r="FH18" s="157"/>
      <c r="FI18" s="157"/>
      <c r="FJ18" s="157"/>
      <c r="FK18" s="157"/>
      <c r="FL18" s="157"/>
      <c r="FM18" s="172"/>
      <c r="FN18" s="157"/>
      <c r="FO18" s="157"/>
      <c r="FP18" s="157"/>
      <c r="FQ18" s="157"/>
      <c r="FR18" s="157"/>
      <c r="FS18" s="172"/>
      <c r="FT18" s="157"/>
      <c r="FU18" s="157"/>
      <c r="FV18" s="157"/>
      <c r="FW18" s="157"/>
      <c r="FX18" s="157"/>
      <c r="FY18" s="172"/>
      <c r="FZ18" s="157"/>
      <c r="GA18" s="157"/>
      <c r="GB18" s="157"/>
      <c r="GC18" s="157"/>
      <c r="GD18" s="157"/>
      <c r="GE18" s="157"/>
      <c r="GF18" s="157"/>
      <c r="GG18" s="157"/>
      <c r="GH18" s="157"/>
      <c r="GI18" s="157"/>
      <c r="GJ18" s="157"/>
      <c r="GK18" s="157"/>
      <c r="GL18" s="157"/>
      <c r="GM18" s="157"/>
      <c r="GN18" s="157"/>
      <c r="GO18" s="157"/>
      <c r="GP18" s="157"/>
      <c r="GQ18" s="157"/>
      <c r="GR18" s="157"/>
      <c r="GS18" s="157"/>
      <c r="GT18" s="157"/>
      <c r="GU18" s="157"/>
      <c r="GV18" s="157"/>
      <c r="GW18" s="164" t="s">
        <v>20</v>
      </c>
      <c r="GX18" s="162">
        <v>63753</v>
      </c>
      <c r="GY18" s="162">
        <v>83342</v>
      </c>
      <c r="GZ18" s="157"/>
      <c r="HA18" s="162">
        <v>42876</v>
      </c>
      <c r="HB18" s="162">
        <v>57328</v>
      </c>
      <c r="HC18" s="157"/>
      <c r="HD18" s="162">
        <v>38079</v>
      </c>
      <c r="HE18" s="162">
        <v>85570</v>
      </c>
      <c r="HF18" s="157"/>
      <c r="HG18" s="157"/>
      <c r="HH18" s="157"/>
      <c r="HI18" s="157"/>
      <c r="HJ18" s="157"/>
      <c r="HK18" s="157"/>
      <c r="HL18" s="157"/>
      <c r="HM18" s="157"/>
      <c r="HN18" s="157"/>
      <c r="HO18" s="157"/>
      <c r="HP18" s="157"/>
      <c r="HQ18" s="157"/>
      <c r="HR18" s="157"/>
      <c r="HS18" s="157"/>
      <c r="HT18" s="157"/>
      <c r="HU18" s="157"/>
      <c r="HV18" s="157"/>
      <c r="HW18" s="157"/>
      <c r="HX18" s="157"/>
      <c r="HY18" s="157"/>
      <c r="HZ18" s="157"/>
      <c r="IA18" s="157"/>
      <c r="IB18" s="157"/>
      <c r="IC18" s="157"/>
      <c r="ID18" s="157"/>
      <c r="IE18" s="157"/>
      <c r="IF18" s="157"/>
      <c r="IG18" s="157"/>
      <c r="IH18" s="157"/>
      <c r="II18" s="157"/>
      <c r="IJ18" s="157"/>
      <c r="IK18" s="157"/>
      <c r="IL18" s="157"/>
      <c r="IM18" s="157"/>
      <c r="IN18" s="157"/>
      <c r="IO18" s="157"/>
      <c r="IP18" s="157"/>
      <c r="IQ18" s="157"/>
      <c r="IR18" s="157"/>
      <c r="IS18" s="157"/>
      <c r="IT18" s="157"/>
      <c r="IU18" s="157"/>
      <c r="IV18" s="157"/>
      <c r="IW18" s="157"/>
      <c r="IX18" s="157"/>
      <c r="IY18" s="157"/>
      <c r="IZ18" s="157"/>
      <c r="JA18" s="157"/>
      <c r="JB18" s="157"/>
      <c r="JC18" s="157"/>
      <c r="JD18" s="157"/>
      <c r="JE18" s="157"/>
      <c r="JF18" s="157"/>
      <c r="JG18" s="157"/>
      <c r="JH18" s="157"/>
      <c r="JI18" s="157"/>
      <c r="JJ18" s="157"/>
      <c r="JK18" s="157"/>
      <c r="JL18" s="157"/>
      <c r="JM18" s="157"/>
      <c r="JN18" s="157"/>
      <c r="JO18" s="157"/>
      <c r="JP18" s="157"/>
      <c r="JQ18" s="157"/>
      <c r="JR18" s="157"/>
      <c r="JS18" s="157"/>
      <c r="JT18" s="157"/>
      <c r="JU18" s="157"/>
      <c r="JV18" s="157"/>
      <c r="JW18" s="157"/>
      <c r="JX18" s="157"/>
      <c r="JY18" s="157"/>
      <c r="JZ18" s="157"/>
      <c r="KA18" s="157"/>
      <c r="KB18" s="157"/>
      <c r="KC18" s="157"/>
      <c r="KD18" s="157"/>
      <c r="KE18" s="157"/>
      <c r="KF18" s="157"/>
      <c r="KG18" s="157"/>
      <c r="KH18" s="157"/>
      <c r="KI18" s="157"/>
      <c r="KJ18" s="157"/>
      <c r="KK18" s="157"/>
      <c r="KL18" s="157"/>
    </row>
    <row r="19" spans="142:298">
      <c r="EL19" s="172"/>
      <c r="EM19" s="157"/>
      <c r="EO19" s="172"/>
      <c r="EP19" s="157"/>
      <c r="EQ19" s="157"/>
      <c r="ER19" s="172"/>
      <c r="ES19" s="157"/>
      <c r="ET19" s="157"/>
      <c r="EU19" s="172"/>
      <c r="EV19" s="157"/>
      <c r="EW19" s="157"/>
      <c r="EX19" s="172"/>
      <c r="EY19" s="157"/>
      <c r="EZ19" s="157"/>
      <c r="FA19" s="172"/>
      <c r="FB19" s="157"/>
      <c r="FC19" s="157"/>
      <c r="FD19" s="172"/>
      <c r="FE19" s="157"/>
      <c r="FF19" s="157"/>
      <c r="FG19" s="172"/>
      <c r="FH19" s="157"/>
      <c r="FI19" s="157"/>
      <c r="FJ19" s="157"/>
      <c r="FK19" s="157"/>
      <c r="FL19" s="157"/>
      <c r="FM19" s="172"/>
      <c r="FN19" s="157"/>
      <c r="FO19" s="157"/>
      <c r="FP19" s="157"/>
      <c r="FQ19" s="157"/>
      <c r="FR19" s="157"/>
      <c r="FS19" s="172"/>
      <c r="FT19" s="157"/>
      <c r="FU19" s="157"/>
      <c r="FV19" s="157"/>
      <c r="FW19" s="157"/>
      <c r="FX19" s="157"/>
      <c r="FY19" s="172"/>
      <c r="FZ19" s="157"/>
      <c r="GA19" s="157"/>
      <c r="GB19" s="157"/>
      <c r="GC19" s="157"/>
      <c r="GD19" s="157"/>
      <c r="GE19" s="157"/>
      <c r="GF19" s="157"/>
      <c r="GG19" s="157"/>
      <c r="GH19" s="157"/>
      <c r="GI19" s="157"/>
      <c r="GJ19" s="157"/>
      <c r="GK19" s="157"/>
      <c r="GL19" s="157"/>
      <c r="GM19" s="157"/>
      <c r="GN19" s="157"/>
      <c r="GO19" s="157"/>
      <c r="GP19" s="157"/>
      <c r="GQ19" s="157"/>
      <c r="GR19" s="157"/>
      <c r="GS19" s="157"/>
      <c r="GT19" s="157"/>
      <c r="GU19" s="157"/>
      <c r="GV19" s="157"/>
      <c r="GW19" s="163" t="s">
        <v>21</v>
      </c>
      <c r="GX19" s="156">
        <v>168682</v>
      </c>
      <c r="GY19" s="156">
        <v>118223</v>
      </c>
      <c r="GZ19" s="157"/>
      <c r="HA19" s="156">
        <v>108610</v>
      </c>
      <c r="HB19" s="156">
        <v>127955</v>
      </c>
      <c r="HC19" s="157"/>
      <c r="HD19" s="156">
        <v>80950</v>
      </c>
      <c r="HE19" s="156">
        <v>163507</v>
      </c>
      <c r="HF19" s="157"/>
      <c r="HG19" s="157"/>
      <c r="HH19" s="157"/>
      <c r="HI19" s="157"/>
      <c r="HJ19" s="157"/>
      <c r="HK19" s="157"/>
      <c r="HL19" s="157"/>
      <c r="HM19" s="157"/>
      <c r="HN19" s="157"/>
      <c r="HO19" s="157"/>
      <c r="HP19" s="157"/>
      <c r="HQ19" s="157"/>
      <c r="HR19" s="157"/>
      <c r="HS19" s="157"/>
      <c r="HT19" s="157"/>
      <c r="HU19" s="157"/>
      <c r="HV19" s="157"/>
      <c r="HW19" s="157"/>
      <c r="HX19" s="157"/>
      <c r="HY19" s="157"/>
      <c r="HZ19" s="157"/>
      <c r="IA19" s="157"/>
      <c r="IB19" s="157"/>
      <c r="IC19" s="157"/>
      <c r="ID19" s="157"/>
      <c r="IE19" s="157"/>
      <c r="IF19" s="157"/>
      <c r="IG19" s="157"/>
      <c r="IH19" s="157"/>
      <c r="II19" s="157"/>
      <c r="IJ19" s="157"/>
      <c r="IK19" s="157"/>
      <c r="IL19" s="157"/>
      <c r="IM19" s="157"/>
      <c r="IN19" s="157"/>
      <c r="IO19" s="157"/>
      <c r="IP19" s="157"/>
      <c r="IQ19" s="157"/>
      <c r="IR19" s="157"/>
      <c r="IS19" s="157"/>
      <c r="IT19" s="157"/>
      <c r="IU19" s="157"/>
      <c r="IV19" s="157"/>
      <c r="IW19" s="157"/>
      <c r="IX19" s="157"/>
      <c r="IY19" s="157"/>
      <c r="IZ19" s="157"/>
      <c r="JA19" s="157"/>
      <c r="JB19" s="157"/>
      <c r="JC19" s="157"/>
      <c r="JD19" s="157"/>
      <c r="JE19" s="157"/>
      <c r="JF19" s="157"/>
      <c r="JG19" s="157"/>
      <c r="JH19" s="157"/>
      <c r="JI19" s="157"/>
      <c r="JJ19" s="157"/>
      <c r="JK19" s="157"/>
      <c r="JL19" s="157"/>
      <c r="JM19" s="157"/>
      <c r="JN19" s="157"/>
      <c r="JO19" s="157"/>
      <c r="JP19" s="157"/>
      <c r="JQ19" s="157"/>
      <c r="JR19" s="157"/>
      <c r="JS19" s="157"/>
      <c r="JT19" s="157"/>
      <c r="JU19" s="157"/>
      <c r="JV19" s="157"/>
      <c r="JW19" s="157"/>
      <c r="JX19" s="157"/>
      <c r="JY19" s="157"/>
      <c r="JZ19" s="157"/>
      <c r="KA19" s="157"/>
      <c r="KB19" s="157"/>
      <c r="KC19" s="157"/>
      <c r="KD19" s="157"/>
      <c r="KE19" s="157"/>
      <c r="KF19" s="157"/>
      <c r="KG19" s="157"/>
      <c r="KH19" s="157"/>
      <c r="KI19" s="157"/>
      <c r="KJ19" s="157"/>
      <c r="KK19" s="157"/>
      <c r="KL19" s="157"/>
    </row>
    <row r="20" spans="142:298">
      <c r="EL20" s="172"/>
      <c r="EM20" s="157"/>
      <c r="EO20" s="172"/>
      <c r="EP20" s="157"/>
      <c r="EQ20" s="157"/>
      <c r="ER20" s="172"/>
      <c r="ES20" s="157"/>
      <c r="ET20" s="157"/>
      <c r="EU20" s="172"/>
      <c r="EV20" s="157"/>
      <c r="EW20" s="157"/>
      <c r="EX20" s="172"/>
      <c r="EY20" s="157"/>
      <c r="EZ20" s="157"/>
      <c r="FA20" s="172"/>
      <c r="FB20" s="157"/>
      <c r="FC20" s="157"/>
      <c r="FD20" s="172"/>
      <c r="FE20" s="157"/>
      <c r="FF20" s="157"/>
      <c r="FG20" s="172"/>
      <c r="FH20" s="157"/>
      <c r="FI20" s="157"/>
      <c r="FJ20" s="157"/>
      <c r="FK20" s="157"/>
      <c r="FL20" s="157"/>
      <c r="FM20" s="172"/>
      <c r="FN20" s="157"/>
      <c r="FO20" s="157"/>
      <c r="FP20" s="157"/>
      <c r="FQ20" s="157"/>
      <c r="FR20" s="157"/>
      <c r="FS20" s="172"/>
      <c r="FT20" s="157"/>
      <c r="FU20" s="157"/>
      <c r="FV20" s="157"/>
      <c r="FW20" s="157"/>
      <c r="FX20" s="157"/>
      <c r="FY20" s="172"/>
      <c r="FZ20" s="157"/>
      <c r="GA20" s="157"/>
      <c r="GB20" s="157"/>
      <c r="GC20" s="157"/>
      <c r="GD20" s="157"/>
      <c r="GE20" s="157"/>
      <c r="GF20" s="157"/>
      <c r="GG20" s="157"/>
      <c r="GH20" s="157"/>
      <c r="GI20" s="157"/>
      <c r="GJ20" s="157"/>
      <c r="GK20" s="157"/>
      <c r="GL20" s="157"/>
      <c r="GM20" s="157"/>
      <c r="GN20" s="157"/>
      <c r="GO20" s="157"/>
      <c r="GP20" s="157"/>
      <c r="GQ20" s="157"/>
      <c r="GR20" s="157"/>
      <c r="GS20" s="157"/>
      <c r="GT20" s="157"/>
      <c r="GU20" s="157"/>
      <c r="GV20" s="157"/>
      <c r="GW20" s="163" t="s">
        <v>23</v>
      </c>
      <c r="GX20" s="156">
        <v>36167</v>
      </c>
      <c r="GY20" s="156">
        <v>168381</v>
      </c>
      <c r="GZ20" s="157"/>
      <c r="HA20" s="156">
        <v>22087</v>
      </c>
      <c r="HB20" s="156">
        <v>190712</v>
      </c>
      <c r="HC20" s="157"/>
      <c r="HD20" s="156">
        <v>14859</v>
      </c>
      <c r="HE20" s="156">
        <v>125306</v>
      </c>
      <c r="HF20" s="157"/>
      <c r="HG20" s="157"/>
      <c r="HH20" s="157"/>
      <c r="HI20" s="157"/>
      <c r="HJ20" s="157"/>
      <c r="HK20" s="157"/>
      <c r="HL20" s="157"/>
      <c r="HM20" s="157"/>
      <c r="HN20" s="157"/>
      <c r="HO20" s="157"/>
      <c r="HP20" s="157"/>
      <c r="HQ20" s="157"/>
      <c r="HR20" s="157"/>
      <c r="HS20" s="157"/>
      <c r="HT20" s="157"/>
      <c r="HU20" s="157"/>
      <c r="HV20" s="157"/>
      <c r="HW20" s="157"/>
      <c r="HX20" s="157"/>
      <c r="HY20" s="157"/>
      <c r="HZ20" s="157"/>
      <c r="IA20" s="157"/>
      <c r="IB20" s="157"/>
      <c r="IC20" s="157"/>
      <c r="ID20" s="157"/>
      <c r="IE20" s="157"/>
      <c r="IF20" s="157"/>
      <c r="IG20" s="157"/>
      <c r="IH20" s="157"/>
      <c r="II20" s="157"/>
      <c r="IJ20" s="157"/>
      <c r="IK20" s="157"/>
      <c r="IL20" s="157"/>
      <c r="IM20" s="157"/>
      <c r="IN20" s="157"/>
      <c r="IO20" s="157"/>
      <c r="IP20" s="157"/>
      <c r="IQ20" s="157"/>
      <c r="IR20" s="157"/>
      <c r="IS20" s="157"/>
      <c r="IT20" s="157"/>
      <c r="IU20" s="157"/>
      <c r="IV20" s="157"/>
      <c r="IW20" s="157"/>
      <c r="IX20" s="157"/>
      <c r="IY20" s="157"/>
      <c r="IZ20" s="157"/>
      <c r="JA20" s="157"/>
      <c r="JB20" s="157"/>
      <c r="JC20" s="157"/>
      <c r="JD20" s="157"/>
      <c r="JE20" s="157"/>
      <c r="JF20" s="157"/>
      <c r="JG20" s="157"/>
      <c r="JH20" s="157"/>
      <c r="JI20" s="157"/>
      <c r="JJ20" s="157"/>
      <c r="JK20" s="157"/>
      <c r="JL20" s="157"/>
      <c r="JM20" s="157"/>
      <c r="JN20" s="157"/>
      <c r="JO20" s="157"/>
      <c r="JP20" s="157"/>
      <c r="JQ20" s="157"/>
      <c r="JR20" s="157"/>
      <c r="JS20" s="157"/>
      <c r="JT20" s="157"/>
      <c r="JU20" s="157"/>
      <c r="JV20" s="157"/>
      <c r="JW20" s="157"/>
      <c r="JX20" s="157"/>
      <c r="JY20" s="157"/>
      <c r="JZ20" s="157"/>
      <c r="KA20" s="157"/>
      <c r="KB20" s="157"/>
      <c r="KC20" s="157"/>
      <c r="KD20" s="157"/>
      <c r="KE20" s="157"/>
      <c r="KF20" s="157"/>
      <c r="KG20" s="157"/>
      <c r="KH20" s="157"/>
      <c r="KI20" s="157"/>
      <c r="KJ20" s="157"/>
      <c r="KK20" s="157"/>
      <c r="KL20" s="157"/>
    </row>
    <row r="21" spans="142:298" ht="15.75">
      <c r="EL21" s="172"/>
      <c r="EM21" s="157"/>
      <c r="EO21" s="172"/>
      <c r="EP21" s="157"/>
      <c r="EQ21" s="157"/>
      <c r="ER21" s="172"/>
      <c r="ES21" s="157"/>
      <c r="ET21" s="157"/>
      <c r="EU21" s="172"/>
      <c r="EV21" s="157"/>
      <c r="EW21" s="157"/>
      <c r="EX21" s="172"/>
      <c r="EY21" s="157"/>
      <c r="EZ21" s="157"/>
      <c r="FA21" s="172"/>
      <c r="FB21" s="157"/>
      <c r="FC21" s="157"/>
      <c r="FD21" s="172"/>
      <c r="FE21" s="157"/>
      <c r="FF21" s="157"/>
      <c r="FG21" s="172"/>
      <c r="FH21" s="157"/>
      <c r="FI21" s="157"/>
      <c r="FJ21" s="157"/>
      <c r="FK21" s="157"/>
      <c r="FL21" s="157"/>
      <c r="FM21" s="172"/>
      <c r="FN21" s="157"/>
      <c r="FO21" s="157"/>
      <c r="FP21" s="157"/>
      <c r="FQ21" s="157"/>
      <c r="FR21" s="157"/>
      <c r="FS21" s="172"/>
      <c r="FT21" s="157"/>
      <c r="FU21" s="157"/>
      <c r="FV21" s="157"/>
      <c r="FW21" s="157"/>
      <c r="FX21" s="157"/>
      <c r="FY21" s="172"/>
      <c r="FZ21" s="157"/>
      <c r="GA21" s="157"/>
      <c r="GB21" s="157"/>
      <c r="GC21" s="157"/>
      <c r="GD21" s="157"/>
      <c r="GE21" s="157"/>
      <c r="GF21" s="157"/>
      <c r="GG21" s="157"/>
      <c r="GH21" s="157"/>
      <c r="GI21" s="157"/>
      <c r="GJ21" s="157"/>
      <c r="GK21" s="157"/>
      <c r="GL21" s="157"/>
      <c r="GM21" s="157"/>
      <c r="GN21" s="157"/>
      <c r="GO21" s="157"/>
      <c r="GP21" s="157"/>
      <c r="GQ21" s="157"/>
      <c r="GR21" s="157"/>
      <c r="GS21" s="157"/>
      <c r="GT21" s="157"/>
      <c r="GU21" s="157"/>
      <c r="GV21" s="157"/>
      <c r="GW21" s="168" t="s">
        <v>25</v>
      </c>
      <c r="GX21" s="156">
        <v>110096</v>
      </c>
      <c r="GY21" s="156">
        <v>85910</v>
      </c>
      <c r="GZ21" s="157"/>
      <c r="HA21" s="156">
        <v>127084</v>
      </c>
      <c r="HB21" s="156">
        <v>66159</v>
      </c>
      <c r="HC21" s="157"/>
      <c r="HD21" s="156">
        <v>59329</v>
      </c>
      <c r="HE21" s="156">
        <v>34264</v>
      </c>
      <c r="HF21" s="157"/>
      <c r="HG21" s="157"/>
      <c r="HH21" s="157"/>
      <c r="HI21" s="157"/>
      <c r="HJ21" s="157"/>
      <c r="HK21" s="157"/>
      <c r="HL21" s="157"/>
      <c r="HM21" s="157"/>
      <c r="HN21" s="157"/>
      <c r="HO21" s="157"/>
      <c r="HP21" s="157"/>
      <c r="HQ21" s="157"/>
      <c r="HR21" s="157"/>
      <c r="HS21" s="157"/>
      <c r="HT21" s="157"/>
      <c r="HU21" s="157"/>
      <c r="HV21" s="157"/>
      <c r="HW21" s="157"/>
      <c r="HX21" s="157"/>
      <c r="HY21" s="157"/>
      <c r="HZ21" s="157"/>
      <c r="IA21" s="157"/>
      <c r="IB21" s="157"/>
      <c r="IC21" s="157"/>
      <c r="ID21" s="157"/>
      <c r="IE21" s="157"/>
      <c r="IF21" s="157"/>
      <c r="IG21" s="157"/>
      <c r="IH21" s="157"/>
      <c r="II21" s="157"/>
      <c r="IJ21" s="157"/>
      <c r="IK21" s="157"/>
      <c r="IL21" s="157"/>
      <c r="IM21" s="157"/>
      <c r="IN21" s="157"/>
      <c r="IO21" s="157"/>
      <c r="IP21" s="157"/>
      <c r="IQ21" s="157"/>
      <c r="IR21" s="157"/>
      <c r="IS21" s="157"/>
      <c r="IT21" s="157"/>
      <c r="IU21" s="157"/>
      <c r="IV21" s="157"/>
      <c r="IW21" s="157"/>
      <c r="IX21" s="157"/>
      <c r="IY21" s="157"/>
      <c r="IZ21" s="157"/>
      <c r="JA21" s="157"/>
      <c r="JB21" s="157"/>
      <c r="JC21" s="157"/>
      <c r="JD21" s="157"/>
      <c r="JE21" s="157"/>
      <c r="JF21" s="157"/>
      <c r="JG21" s="157"/>
      <c r="JH21" s="157"/>
      <c r="JI21" s="157"/>
      <c r="JJ21" s="157"/>
      <c r="JK21" s="157"/>
      <c r="JL21" s="157"/>
      <c r="JM21" s="157"/>
      <c r="JN21" s="157"/>
      <c r="JO21" s="157"/>
      <c r="JP21" s="157"/>
      <c r="JQ21" s="157"/>
      <c r="JR21" s="157"/>
      <c r="JS21" s="157"/>
      <c r="JT21" s="157"/>
      <c r="JU21" s="157"/>
      <c r="JV21" s="157"/>
      <c r="JW21" s="157"/>
      <c r="JX21" s="157"/>
      <c r="JY21" s="157"/>
      <c r="JZ21" s="157"/>
      <c r="KA21" s="157"/>
      <c r="KB21" s="157"/>
      <c r="KC21" s="157"/>
      <c r="KD21" s="157"/>
      <c r="KE21" s="157"/>
      <c r="KF21" s="157"/>
      <c r="KG21" s="157"/>
      <c r="KH21" s="157"/>
      <c r="KI21" s="157"/>
      <c r="KJ21" s="157"/>
      <c r="KK21" s="157"/>
      <c r="KL21" s="157"/>
    </row>
    <row r="22" spans="142:298">
      <c r="EL22" s="172"/>
      <c r="EM22" s="157"/>
      <c r="EO22" s="172"/>
      <c r="EP22" s="157"/>
      <c r="EQ22" s="157"/>
      <c r="ER22" s="172"/>
      <c r="ES22" s="157"/>
      <c r="ET22" s="157"/>
      <c r="EU22" s="172"/>
      <c r="EV22" s="157"/>
      <c r="EW22" s="157"/>
      <c r="EX22" s="172"/>
      <c r="EY22" s="157"/>
      <c r="EZ22" s="157"/>
      <c r="FA22" s="172"/>
      <c r="FB22" s="157"/>
      <c r="FC22" s="157"/>
      <c r="FD22" s="172"/>
      <c r="FE22" s="157"/>
      <c r="FF22" s="157"/>
      <c r="FG22" s="172"/>
      <c r="FH22" s="157"/>
      <c r="FI22" s="157"/>
      <c r="FJ22" s="157"/>
      <c r="FK22" s="157"/>
      <c r="FL22" s="157"/>
      <c r="FM22" s="172"/>
      <c r="FN22" s="157"/>
      <c r="FO22" s="157"/>
      <c r="FP22" s="157"/>
      <c r="FQ22" s="157"/>
      <c r="FR22" s="157"/>
      <c r="FS22" s="172"/>
      <c r="FT22" s="157"/>
      <c r="FU22" s="157"/>
      <c r="FV22" s="157"/>
      <c r="FW22" s="157"/>
      <c r="FX22" s="157"/>
      <c r="FY22" s="172"/>
      <c r="FZ22" s="157"/>
      <c r="GA22" s="157"/>
      <c r="GB22" s="157"/>
      <c r="GC22" s="157"/>
      <c r="GD22" s="157"/>
      <c r="GE22" s="157"/>
      <c r="GF22" s="157"/>
      <c r="GG22" s="157"/>
      <c r="GH22" s="157"/>
      <c r="GI22" s="157"/>
      <c r="GJ22" s="157"/>
      <c r="GK22" s="157"/>
      <c r="GL22" s="157"/>
      <c r="GM22" s="157"/>
      <c r="GN22" s="157"/>
      <c r="GO22" s="157"/>
      <c r="GP22" s="157"/>
      <c r="GQ22" s="157"/>
      <c r="GR22" s="157"/>
      <c r="GS22" s="157"/>
      <c r="GT22" s="157"/>
      <c r="GU22" s="157"/>
      <c r="GV22" s="157"/>
      <c r="GW22" s="163" t="s">
        <v>22</v>
      </c>
      <c r="GX22" s="156">
        <v>648958</v>
      </c>
      <c r="GY22" s="156">
        <v>888877</v>
      </c>
      <c r="GZ22" s="157"/>
      <c r="HA22" s="156">
        <v>444335</v>
      </c>
      <c r="HB22" s="156">
        <v>557986</v>
      </c>
      <c r="HC22" s="157"/>
      <c r="HD22" s="156">
        <v>461646</v>
      </c>
      <c r="HE22" s="156">
        <v>387828</v>
      </c>
      <c r="HF22" s="157"/>
      <c r="HG22" s="157"/>
      <c r="HH22" s="157"/>
      <c r="HI22" s="157"/>
      <c r="HJ22" s="157"/>
      <c r="HK22" s="157"/>
      <c r="HL22" s="157"/>
      <c r="HM22" s="157"/>
      <c r="HN22" s="157"/>
      <c r="HO22" s="157"/>
      <c r="HP22" s="157"/>
      <c r="HQ22" s="157"/>
      <c r="HR22" s="157"/>
      <c r="HS22" s="157"/>
      <c r="HT22" s="157"/>
      <c r="HU22" s="157"/>
      <c r="HV22" s="157"/>
      <c r="HW22" s="157"/>
      <c r="HX22" s="157"/>
      <c r="HY22" s="157"/>
      <c r="HZ22" s="157"/>
      <c r="IA22" s="157"/>
      <c r="IB22" s="157"/>
      <c r="IC22" s="157"/>
      <c r="ID22" s="157"/>
      <c r="IE22" s="157"/>
      <c r="IF22" s="157"/>
      <c r="IG22" s="157"/>
      <c r="IH22" s="157"/>
      <c r="II22" s="157"/>
      <c r="IJ22" s="157"/>
      <c r="IK22" s="157"/>
      <c r="IL22" s="157"/>
      <c r="IM22" s="157"/>
      <c r="IN22" s="157"/>
      <c r="IO22" s="157"/>
      <c r="IP22" s="157"/>
      <c r="IQ22" s="157"/>
      <c r="IR22" s="157"/>
      <c r="IS22" s="157"/>
      <c r="IT22" s="157"/>
      <c r="IU22" s="157"/>
      <c r="IV22" s="157"/>
      <c r="IW22" s="157"/>
      <c r="IX22" s="157"/>
      <c r="IY22" s="157"/>
      <c r="IZ22" s="157"/>
      <c r="JA22" s="157"/>
      <c r="JB22" s="157"/>
      <c r="JC22" s="157"/>
      <c r="JD22" s="157"/>
      <c r="JE22" s="157"/>
      <c r="JF22" s="157"/>
      <c r="JG22" s="157"/>
      <c r="JH22" s="157"/>
      <c r="JI22" s="157"/>
      <c r="JJ22" s="157"/>
      <c r="JK22" s="157"/>
      <c r="JL22" s="157"/>
      <c r="JM22" s="157"/>
      <c r="JN22" s="157"/>
      <c r="JO22" s="157"/>
      <c r="JP22" s="157"/>
      <c r="JQ22" s="157"/>
      <c r="JR22" s="157"/>
      <c r="JS22" s="157"/>
      <c r="JT22" s="157"/>
      <c r="JU22" s="157"/>
      <c r="JV22" s="157"/>
      <c r="JW22" s="157"/>
      <c r="JX22" s="157"/>
      <c r="JY22" s="157"/>
      <c r="JZ22" s="157"/>
      <c r="KA22" s="157"/>
      <c r="KB22" s="157"/>
      <c r="KC22" s="157"/>
      <c r="KD22" s="157"/>
      <c r="KE22" s="157"/>
      <c r="KF22" s="157"/>
      <c r="KG22" s="157"/>
      <c r="KH22" s="157"/>
      <c r="KI22" s="157"/>
      <c r="KJ22" s="157"/>
      <c r="KK22" s="157"/>
      <c r="KL22" s="157"/>
    </row>
    <row r="23" spans="142:298">
      <c r="EL23" s="172"/>
      <c r="EM23" s="157"/>
      <c r="EO23" s="172"/>
      <c r="EP23" s="157"/>
      <c r="EQ23" s="157"/>
      <c r="ER23" s="172"/>
      <c r="ES23" s="157"/>
      <c r="ET23" s="157"/>
      <c r="EU23" s="172"/>
      <c r="EV23" s="157"/>
      <c r="EW23" s="157"/>
      <c r="EX23" s="172"/>
      <c r="EY23" s="157"/>
      <c r="EZ23" s="157"/>
      <c r="FA23" s="172"/>
      <c r="FB23" s="157"/>
      <c r="FC23" s="157"/>
      <c r="FD23" s="172"/>
      <c r="FE23" s="157"/>
      <c r="FF23" s="157"/>
      <c r="FG23" s="172"/>
      <c r="FH23" s="157"/>
      <c r="FI23" s="157"/>
      <c r="FJ23" s="157"/>
      <c r="FK23" s="157"/>
      <c r="FL23" s="157"/>
      <c r="FM23" s="172"/>
      <c r="FN23" s="157"/>
      <c r="FO23" s="157"/>
      <c r="FP23" s="157"/>
      <c r="FQ23" s="157"/>
      <c r="FR23" s="157"/>
      <c r="FS23" s="172"/>
      <c r="FT23" s="157"/>
      <c r="FU23" s="157"/>
      <c r="FV23" s="157"/>
      <c r="FW23" s="157"/>
      <c r="FX23" s="157"/>
      <c r="FY23" s="172"/>
      <c r="FZ23" s="157"/>
      <c r="GA23" s="157"/>
      <c r="GB23" s="157"/>
      <c r="GC23" s="157"/>
      <c r="GD23" s="157"/>
      <c r="GE23" s="157"/>
      <c r="GF23" s="157"/>
      <c r="GG23" s="157"/>
      <c r="GH23" s="157"/>
      <c r="GI23" s="157"/>
      <c r="GJ23" s="157"/>
      <c r="GK23" s="157"/>
      <c r="GL23" s="157"/>
      <c r="GM23" s="157"/>
      <c r="GN23" s="157"/>
      <c r="GO23" s="157"/>
      <c r="GP23" s="157"/>
      <c r="GQ23" s="157"/>
      <c r="GR23" s="157"/>
      <c r="GS23" s="157"/>
      <c r="GT23" s="157"/>
      <c r="GU23" s="157"/>
      <c r="GV23" s="157"/>
      <c r="GW23" s="163" t="s">
        <v>24</v>
      </c>
      <c r="GX23" s="156">
        <v>3719</v>
      </c>
      <c r="GY23" s="156">
        <v>6337</v>
      </c>
      <c r="GZ23" s="157"/>
      <c r="HA23" s="156">
        <v>1408</v>
      </c>
      <c r="HB23" s="156">
        <v>3900</v>
      </c>
      <c r="HC23" s="157"/>
      <c r="HD23" s="156">
        <v>689</v>
      </c>
      <c r="HE23" s="156">
        <v>5851</v>
      </c>
      <c r="HF23" s="157"/>
      <c r="HG23" s="157"/>
      <c r="HH23" s="157"/>
      <c r="HI23" s="157"/>
      <c r="HJ23" s="157"/>
      <c r="HK23" s="157"/>
      <c r="HL23" s="157"/>
      <c r="HM23" s="157"/>
      <c r="HN23" s="157"/>
      <c r="HO23" s="157"/>
      <c r="HP23" s="157"/>
      <c r="HQ23" s="157"/>
      <c r="HR23" s="157"/>
      <c r="HS23" s="157"/>
      <c r="HT23" s="157"/>
      <c r="HU23" s="157"/>
      <c r="HV23" s="157"/>
      <c r="HW23" s="157"/>
      <c r="HX23" s="157"/>
      <c r="HY23" s="157"/>
      <c r="HZ23" s="157"/>
      <c r="IA23" s="157"/>
      <c r="IB23" s="157"/>
      <c r="IC23" s="157"/>
      <c r="ID23" s="157"/>
      <c r="IE23" s="157"/>
      <c r="IF23" s="157"/>
      <c r="IG23" s="157"/>
      <c r="IH23" s="157"/>
      <c r="II23" s="157"/>
      <c r="IJ23" s="157"/>
      <c r="IK23" s="157"/>
      <c r="IL23" s="157"/>
      <c r="IM23" s="157"/>
      <c r="IN23" s="157"/>
      <c r="IO23" s="157"/>
      <c r="IP23" s="157"/>
      <c r="IQ23" s="157"/>
      <c r="IR23" s="157"/>
      <c r="IS23" s="157"/>
      <c r="IT23" s="157"/>
      <c r="IU23" s="157"/>
      <c r="IV23" s="157"/>
      <c r="IW23" s="157"/>
      <c r="IX23" s="157"/>
      <c r="IY23" s="157"/>
      <c r="IZ23" s="157"/>
      <c r="JA23" s="157"/>
      <c r="JB23" s="157"/>
      <c r="JC23" s="157"/>
      <c r="JD23" s="157"/>
      <c r="JE23" s="157"/>
      <c r="JF23" s="157"/>
      <c r="JG23" s="157"/>
      <c r="JH23" s="157"/>
      <c r="JI23" s="157"/>
      <c r="JJ23" s="157"/>
      <c r="JK23" s="157"/>
      <c r="JL23" s="157"/>
      <c r="JM23" s="157"/>
      <c r="JN23" s="157"/>
      <c r="JO23" s="157"/>
      <c r="JP23" s="157"/>
      <c r="JQ23" s="157"/>
      <c r="JR23" s="157"/>
      <c r="JS23" s="157"/>
      <c r="JT23" s="157"/>
      <c r="JU23" s="157"/>
      <c r="JV23" s="157"/>
      <c r="JW23" s="157"/>
      <c r="JX23" s="157"/>
      <c r="JY23" s="157"/>
      <c r="JZ23" s="157"/>
      <c r="KA23" s="157"/>
      <c r="KB23" s="157"/>
      <c r="KC23" s="157"/>
      <c r="KD23" s="157"/>
      <c r="KE23" s="157"/>
      <c r="KF23" s="157"/>
      <c r="KG23" s="157"/>
      <c r="KH23" s="157"/>
      <c r="KI23" s="157"/>
      <c r="KJ23" s="157"/>
      <c r="KK23" s="157"/>
      <c r="KL23" s="157"/>
    </row>
    <row r="24" spans="142:298">
      <c r="EL24" s="172"/>
      <c r="EM24" s="157"/>
      <c r="EO24" s="172"/>
      <c r="EP24" s="157"/>
      <c r="EQ24" s="157"/>
      <c r="ER24" s="172"/>
      <c r="ES24" s="157"/>
      <c r="ET24" s="157"/>
      <c r="EU24" s="172"/>
      <c r="EV24" s="157"/>
      <c r="EW24" s="157"/>
      <c r="EX24" s="172"/>
      <c r="EY24" s="157"/>
      <c r="EZ24" s="157"/>
      <c r="FA24" s="172"/>
      <c r="FB24" s="157"/>
      <c r="FC24" s="157"/>
      <c r="FD24" s="172"/>
      <c r="FE24" s="157"/>
      <c r="FF24" s="157"/>
      <c r="FG24" s="172"/>
      <c r="FH24" s="157"/>
      <c r="FI24" s="157"/>
      <c r="FJ24" s="157"/>
      <c r="FK24" s="157"/>
      <c r="FL24" s="157"/>
      <c r="FM24" s="172"/>
      <c r="FN24" s="157"/>
      <c r="FO24" s="157"/>
      <c r="FP24" s="157"/>
      <c r="FQ24" s="157"/>
      <c r="FR24" s="157"/>
      <c r="FS24" s="172"/>
      <c r="FT24" s="157"/>
      <c r="FU24" s="157"/>
      <c r="FV24" s="157"/>
      <c r="FW24" s="157"/>
      <c r="FX24" s="157"/>
      <c r="FY24" s="172"/>
      <c r="FZ24" s="157"/>
      <c r="GA24" s="157"/>
      <c r="GB24" s="157"/>
      <c r="GC24" s="157"/>
      <c r="GD24" s="157"/>
      <c r="GE24" s="157"/>
      <c r="GF24" s="157"/>
      <c r="GG24" s="157"/>
      <c r="GH24" s="157"/>
      <c r="GI24" s="157"/>
      <c r="GJ24" s="157"/>
      <c r="GK24" s="157"/>
      <c r="GL24" s="157"/>
      <c r="GM24" s="157"/>
      <c r="GN24" s="157"/>
      <c r="GO24" s="157"/>
      <c r="GP24" s="157"/>
      <c r="GQ24" s="157"/>
      <c r="GR24" s="157"/>
      <c r="GS24" s="157"/>
      <c r="GT24" s="157"/>
      <c r="GU24" s="157"/>
      <c r="GV24" s="157"/>
      <c r="GW24" s="163" t="s">
        <v>27</v>
      </c>
      <c r="GX24" s="156">
        <v>43982</v>
      </c>
      <c r="GY24" s="156">
        <v>57530</v>
      </c>
      <c r="GZ24" s="157"/>
      <c r="HA24" s="156">
        <v>12124</v>
      </c>
      <c r="HB24" s="156">
        <v>12566</v>
      </c>
      <c r="HC24" s="157"/>
      <c r="HD24" s="156">
        <v>27375</v>
      </c>
      <c r="HE24" s="156">
        <v>5941</v>
      </c>
      <c r="HF24" s="157"/>
      <c r="HG24" s="157"/>
      <c r="HH24" s="157"/>
      <c r="HI24" s="157"/>
      <c r="HJ24" s="157"/>
      <c r="HK24" s="157"/>
      <c r="HL24" s="157"/>
      <c r="HM24" s="157"/>
      <c r="HN24" s="157"/>
      <c r="HO24" s="157"/>
      <c r="HP24" s="157"/>
      <c r="HQ24" s="157"/>
      <c r="HR24" s="157"/>
      <c r="HS24" s="157"/>
      <c r="HT24" s="157"/>
      <c r="HU24" s="157"/>
      <c r="HV24" s="157"/>
      <c r="HW24" s="157"/>
      <c r="HX24" s="157"/>
      <c r="HY24" s="157"/>
      <c r="HZ24" s="157"/>
      <c r="IA24" s="157"/>
      <c r="IB24" s="157"/>
      <c r="IC24" s="157"/>
      <c r="ID24" s="157"/>
      <c r="IE24" s="157"/>
      <c r="IF24" s="157"/>
      <c r="IG24" s="157"/>
      <c r="IH24" s="157"/>
      <c r="II24" s="157"/>
      <c r="IJ24" s="157"/>
      <c r="IK24" s="157"/>
      <c r="IL24" s="157"/>
      <c r="IM24" s="157"/>
      <c r="IN24" s="157"/>
      <c r="IO24" s="157"/>
      <c r="IP24" s="157"/>
      <c r="IQ24" s="157"/>
      <c r="IR24" s="157"/>
      <c r="IS24" s="157"/>
      <c r="IT24" s="157"/>
      <c r="IU24" s="157"/>
      <c r="IV24" s="157"/>
      <c r="IW24" s="157"/>
      <c r="IX24" s="157"/>
      <c r="IY24" s="157"/>
      <c r="IZ24" s="157"/>
      <c r="JA24" s="157"/>
      <c r="JB24" s="157"/>
      <c r="JC24" s="157"/>
      <c r="JD24" s="157"/>
      <c r="JE24" s="157"/>
      <c r="JF24" s="157"/>
      <c r="JG24" s="157"/>
      <c r="JH24" s="157"/>
      <c r="JI24" s="157"/>
      <c r="JJ24" s="157"/>
      <c r="JK24" s="157"/>
      <c r="JL24" s="157"/>
      <c r="JM24" s="157"/>
      <c r="JN24" s="157"/>
      <c r="JO24" s="157"/>
      <c r="JP24" s="157"/>
      <c r="JQ24" s="157"/>
      <c r="JR24" s="157"/>
      <c r="JS24" s="157"/>
      <c r="JT24" s="157"/>
      <c r="JU24" s="157"/>
      <c r="JV24" s="157"/>
      <c r="JW24" s="157"/>
      <c r="JX24" s="157"/>
      <c r="JY24" s="157"/>
      <c r="JZ24" s="157"/>
      <c r="KA24" s="157"/>
      <c r="KB24" s="157"/>
      <c r="KC24" s="157"/>
      <c r="KD24" s="157"/>
      <c r="KE24" s="157"/>
      <c r="KF24" s="157"/>
      <c r="KG24" s="157"/>
      <c r="KH24" s="157"/>
      <c r="KI24" s="157"/>
      <c r="KJ24" s="157"/>
      <c r="KK24" s="157"/>
      <c r="KL24" s="157"/>
    </row>
    <row r="25" spans="142:298">
      <c r="EL25" s="172"/>
      <c r="EM25" s="157"/>
      <c r="EO25" s="172"/>
      <c r="EP25" s="157"/>
      <c r="EQ25" s="157"/>
      <c r="ER25" s="172"/>
      <c r="ES25" s="157"/>
      <c r="ET25" s="157"/>
      <c r="EU25" s="172"/>
      <c r="EV25" s="157"/>
      <c r="EW25" s="157"/>
      <c r="EX25" s="172"/>
      <c r="EY25" s="157"/>
      <c r="EZ25" s="157"/>
      <c r="FA25" s="172"/>
      <c r="FB25" s="157"/>
      <c r="FC25" s="157"/>
      <c r="FD25" s="172"/>
      <c r="FE25" s="157"/>
      <c r="FF25" s="157"/>
      <c r="FG25" s="172"/>
      <c r="FH25" s="157"/>
      <c r="FI25" s="157"/>
      <c r="FJ25" s="157"/>
      <c r="FK25" s="157"/>
      <c r="FL25" s="157"/>
      <c r="FM25" s="172"/>
      <c r="FN25" s="157"/>
      <c r="FO25" s="157"/>
      <c r="FP25" s="157"/>
      <c r="FQ25" s="157"/>
      <c r="FR25" s="157"/>
      <c r="FS25" s="172"/>
      <c r="FT25" s="157"/>
      <c r="FU25" s="157"/>
      <c r="FV25" s="157"/>
      <c r="FW25" s="157"/>
      <c r="FX25" s="157"/>
      <c r="FY25" s="172"/>
      <c r="FZ25" s="157"/>
      <c r="GA25" s="157"/>
      <c r="GB25" s="157"/>
      <c r="GC25" s="157"/>
      <c r="GD25" s="157"/>
      <c r="GE25" s="157"/>
      <c r="GF25" s="157"/>
      <c r="GG25" s="157"/>
      <c r="GH25" s="157"/>
      <c r="GI25" s="157"/>
      <c r="GJ25" s="157"/>
      <c r="GK25" s="157"/>
      <c r="GL25" s="157"/>
      <c r="GM25" s="157"/>
      <c r="GN25" s="157"/>
      <c r="GO25" s="157"/>
      <c r="GP25" s="157"/>
      <c r="GQ25" s="157"/>
      <c r="GR25" s="157"/>
      <c r="GS25" s="157"/>
      <c r="GT25" s="157"/>
      <c r="GU25" s="157"/>
      <c r="GV25" s="157"/>
      <c r="GW25" s="173" t="s">
        <v>26</v>
      </c>
      <c r="GX25" s="156">
        <v>4031</v>
      </c>
      <c r="GY25" s="170">
        <v>2562</v>
      </c>
      <c r="GZ25" s="157"/>
      <c r="HA25" s="170">
        <v>1603</v>
      </c>
      <c r="HB25" s="170">
        <v>1845</v>
      </c>
      <c r="HC25" s="157"/>
      <c r="HD25" s="175">
        <v>1840</v>
      </c>
      <c r="HE25" s="175">
        <v>820</v>
      </c>
      <c r="HF25" s="157"/>
      <c r="HG25" s="157"/>
      <c r="HH25" s="157"/>
      <c r="HI25" s="157"/>
      <c r="HJ25" s="157"/>
      <c r="HK25" s="157"/>
      <c r="HL25" s="157"/>
      <c r="HM25" s="157"/>
      <c r="HN25" s="157"/>
      <c r="HO25" s="157"/>
      <c r="HP25" s="157"/>
      <c r="HQ25" s="157"/>
      <c r="HR25" s="157"/>
      <c r="HS25" s="157"/>
      <c r="HT25" s="157"/>
      <c r="HU25" s="157"/>
      <c r="HV25" s="157"/>
      <c r="HW25" s="157"/>
      <c r="HX25" s="157"/>
      <c r="HY25" s="157"/>
      <c r="HZ25" s="157"/>
      <c r="IA25" s="157"/>
      <c r="IB25" s="157"/>
      <c r="IC25" s="157"/>
      <c r="ID25" s="157"/>
      <c r="IE25" s="157"/>
      <c r="IF25" s="157"/>
      <c r="IG25" s="157"/>
      <c r="IH25" s="157"/>
      <c r="II25" s="157"/>
      <c r="IJ25" s="157"/>
      <c r="IK25" s="157"/>
      <c r="IL25" s="157"/>
      <c r="IM25" s="157"/>
      <c r="IN25" s="157"/>
      <c r="IO25" s="157"/>
      <c r="IP25" s="157"/>
      <c r="IQ25" s="157"/>
      <c r="IR25" s="157"/>
      <c r="IS25" s="157"/>
      <c r="IT25" s="157"/>
      <c r="IU25" s="157"/>
      <c r="IV25" s="157"/>
      <c r="IW25" s="157"/>
      <c r="IX25" s="157"/>
      <c r="IY25" s="157"/>
      <c r="IZ25" s="157"/>
      <c r="JA25" s="157"/>
      <c r="JB25" s="157"/>
      <c r="JC25" s="157"/>
      <c r="JD25" s="157"/>
      <c r="JE25" s="157"/>
      <c r="JF25" s="157"/>
      <c r="JG25" s="157"/>
      <c r="JH25" s="157"/>
      <c r="JI25" s="157"/>
      <c r="JJ25" s="157"/>
      <c r="JK25" s="157"/>
      <c r="JL25" s="157"/>
      <c r="JM25" s="157"/>
      <c r="JN25" s="157"/>
      <c r="JO25" s="157"/>
      <c r="JP25" s="157"/>
      <c r="JQ25" s="157"/>
      <c r="JR25" s="157"/>
      <c r="JS25" s="157"/>
      <c r="JT25" s="157"/>
      <c r="JU25" s="157"/>
      <c r="JV25" s="157"/>
      <c r="JW25" s="157"/>
      <c r="JX25" s="157"/>
      <c r="JY25" s="157"/>
      <c r="JZ25" s="157"/>
      <c r="KA25" s="157"/>
      <c r="KB25" s="157"/>
      <c r="KC25" s="157"/>
      <c r="KD25" s="157"/>
      <c r="KE25" s="157"/>
      <c r="KF25" s="157"/>
      <c r="KG25" s="157"/>
      <c r="KH25" s="157"/>
      <c r="KI25" s="157"/>
      <c r="KJ25" s="157"/>
      <c r="KK25" s="157"/>
      <c r="KL25" s="157"/>
    </row>
    <row r="26" spans="142:298">
      <c r="EL26" s="172"/>
      <c r="EM26" s="157"/>
      <c r="EO26" s="172"/>
      <c r="EP26" s="157"/>
      <c r="EQ26" s="157"/>
      <c r="ER26" s="172"/>
      <c r="ES26" s="157"/>
      <c r="ET26" s="157"/>
      <c r="EU26" s="172"/>
      <c r="EV26" s="157"/>
      <c r="EW26" s="157"/>
      <c r="EX26" s="172"/>
      <c r="EY26" s="157"/>
      <c r="EZ26" s="157"/>
      <c r="FA26" s="172"/>
      <c r="FB26" s="157"/>
      <c r="FC26" s="157"/>
      <c r="FD26" s="172"/>
      <c r="FE26" s="157"/>
      <c r="FF26" s="157"/>
      <c r="FG26" s="172"/>
      <c r="FH26" s="157"/>
      <c r="FI26" s="157"/>
      <c r="FJ26" s="157"/>
      <c r="FK26" s="157"/>
      <c r="FL26" s="157"/>
      <c r="FM26" s="172"/>
      <c r="FN26" s="157"/>
      <c r="FO26" s="157"/>
      <c r="FP26" s="157"/>
      <c r="FQ26" s="157"/>
      <c r="FR26" s="157"/>
      <c r="FS26" s="172"/>
      <c r="FT26" s="157"/>
      <c r="FU26" s="157"/>
      <c r="FV26" s="157"/>
      <c r="FW26" s="157"/>
      <c r="FX26" s="157"/>
      <c r="FY26" s="172"/>
      <c r="FZ26" s="157"/>
      <c r="GA26" s="157"/>
      <c r="GB26" s="157"/>
      <c r="GC26" s="157"/>
      <c r="GD26" s="157"/>
      <c r="GE26" s="157"/>
      <c r="GF26" s="157"/>
      <c r="GG26" s="157"/>
      <c r="GH26" s="157"/>
      <c r="GI26" s="157"/>
      <c r="GJ26" s="157"/>
      <c r="GK26" s="157"/>
      <c r="GL26" s="157"/>
      <c r="GM26" s="157"/>
      <c r="GN26" s="157"/>
      <c r="GO26" s="157"/>
      <c r="GP26" s="157"/>
      <c r="GQ26" s="157"/>
      <c r="GR26" s="157"/>
      <c r="GS26" s="157"/>
      <c r="GT26" s="157"/>
      <c r="GU26" s="157"/>
      <c r="GV26" s="157"/>
      <c r="GW26" s="159"/>
      <c r="GX26" s="176">
        <f>SUM(GX18:GX25)</f>
        <v>1079388</v>
      </c>
      <c r="GY26" s="176">
        <f>SUM(GY18:GY25)</f>
        <v>1411162</v>
      </c>
      <c r="GZ26" s="157"/>
      <c r="HA26" s="176">
        <f>SUM(HA18:HA25)</f>
        <v>760127</v>
      </c>
      <c r="HB26" s="176">
        <f>SUM(HB18:HB25)</f>
        <v>1018451</v>
      </c>
      <c r="HC26" s="157"/>
      <c r="HD26" s="176">
        <f>SUM(HD18:HD25)</f>
        <v>684767</v>
      </c>
      <c r="HE26" s="176">
        <f>SUM(HE18:HE25)</f>
        <v>809087</v>
      </c>
      <c r="HF26" s="157"/>
      <c r="HG26" s="157"/>
      <c r="HH26" s="157"/>
      <c r="HI26" s="157"/>
      <c r="HJ26" s="157"/>
      <c r="HK26" s="157"/>
      <c r="HL26" s="157"/>
      <c r="HM26" s="157"/>
      <c r="HN26" s="157"/>
      <c r="HO26" s="157"/>
      <c r="HP26" s="157"/>
      <c r="HQ26" s="157"/>
      <c r="HR26" s="157"/>
      <c r="HS26" s="157"/>
      <c r="HT26" s="157"/>
      <c r="HU26" s="157"/>
      <c r="HV26" s="157"/>
      <c r="HW26" s="157"/>
      <c r="HX26" s="157"/>
      <c r="HY26" s="157"/>
      <c r="HZ26" s="157"/>
      <c r="IA26" s="157"/>
      <c r="IB26" s="157"/>
      <c r="IC26" s="157"/>
      <c r="ID26" s="157"/>
      <c r="IE26" s="157"/>
      <c r="IF26" s="157"/>
      <c r="IG26" s="157"/>
      <c r="IH26" s="157"/>
      <c r="II26" s="157"/>
      <c r="IJ26" s="157"/>
      <c r="IK26" s="157"/>
      <c r="IL26" s="157"/>
      <c r="IM26" s="157"/>
      <c r="IN26" s="157"/>
      <c r="IO26" s="157"/>
      <c r="IP26" s="157"/>
      <c r="IQ26" s="157"/>
      <c r="IR26" s="157"/>
      <c r="IS26" s="157"/>
      <c r="IT26" s="157"/>
      <c r="IU26" s="157"/>
      <c r="IV26" s="157"/>
      <c r="IW26" s="157"/>
      <c r="IX26" s="157"/>
      <c r="IY26" s="157"/>
      <c r="IZ26" s="157"/>
      <c r="JA26" s="157"/>
      <c r="JB26" s="157"/>
      <c r="JC26" s="157"/>
      <c r="JD26" s="157"/>
      <c r="JE26" s="157"/>
      <c r="JF26" s="157"/>
      <c r="JG26" s="157"/>
      <c r="JH26" s="157"/>
      <c r="JI26" s="157"/>
      <c r="JJ26" s="157"/>
      <c r="JK26" s="157"/>
      <c r="JL26" s="157"/>
      <c r="JM26" s="157"/>
      <c r="JN26" s="157"/>
      <c r="JO26" s="157"/>
      <c r="JP26" s="157"/>
      <c r="JQ26" s="157"/>
      <c r="JR26" s="157"/>
      <c r="JS26" s="157"/>
      <c r="JT26" s="157"/>
      <c r="JU26" s="157"/>
      <c r="JV26" s="157"/>
      <c r="JW26" s="157"/>
      <c r="JX26" s="157"/>
      <c r="JY26" s="157"/>
      <c r="JZ26" s="157"/>
      <c r="KA26" s="157"/>
      <c r="KB26" s="157"/>
      <c r="KC26" s="157"/>
      <c r="KD26" s="157"/>
      <c r="KE26" s="157"/>
      <c r="KF26" s="157"/>
      <c r="KG26" s="157"/>
      <c r="KH26" s="157"/>
      <c r="KI26" s="157"/>
      <c r="KJ26" s="157"/>
      <c r="KK26" s="157"/>
      <c r="KL26" s="157"/>
    </row>
    <row r="27" spans="142:298">
      <c r="EL27" s="172"/>
      <c r="EM27" s="157"/>
      <c r="EO27" s="172"/>
      <c r="EP27" s="157"/>
      <c r="EQ27" s="157"/>
      <c r="ER27" s="172"/>
      <c r="ES27" s="157"/>
      <c r="ET27" s="157"/>
      <c r="EU27" s="172"/>
      <c r="EV27" s="157"/>
      <c r="EW27" s="157"/>
      <c r="EX27" s="172"/>
      <c r="EY27" s="157"/>
      <c r="EZ27" s="157"/>
      <c r="FA27" s="172"/>
      <c r="FB27" s="157"/>
      <c r="FC27" s="157"/>
      <c r="FD27" s="172"/>
      <c r="FE27" s="157"/>
      <c r="FF27" s="157"/>
      <c r="FG27" s="172"/>
      <c r="FH27" s="157"/>
      <c r="FI27" s="157"/>
      <c r="FJ27" s="157"/>
      <c r="FK27" s="157"/>
      <c r="FL27" s="157"/>
      <c r="FM27" s="172"/>
      <c r="FN27" s="157"/>
      <c r="FO27" s="157"/>
      <c r="FP27" s="157"/>
      <c r="FQ27" s="157"/>
      <c r="FR27" s="157"/>
      <c r="FS27" s="172"/>
      <c r="FT27" s="157"/>
      <c r="FU27" s="157"/>
      <c r="FV27" s="157"/>
      <c r="FW27" s="157"/>
      <c r="FX27" s="157"/>
      <c r="FY27" s="172"/>
      <c r="FZ27" s="157"/>
      <c r="GA27" s="157"/>
      <c r="GB27" s="157"/>
      <c r="GC27" s="157"/>
      <c r="GD27" s="157"/>
      <c r="GE27" s="157"/>
      <c r="GF27" s="157"/>
      <c r="GG27" s="157"/>
      <c r="GH27" s="157"/>
      <c r="GI27" s="157"/>
      <c r="GJ27" s="157"/>
      <c r="GK27" s="157"/>
      <c r="GL27" s="157"/>
      <c r="GM27" s="157"/>
      <c r="GN27" s="157"/>
      <c r="GO27" s="157"/>
      <c r="GP27" s="157"/>
      <c r="GQ27" s="157"/>
      <c r="GR27" s="157"/>
      <c r="GS27" s="157"/>
      <c r="GT27" s="157"/>
      <c r="GU27" s="157"/>
      <c r="GV27" s="157"/>
      <c r="GW27" s="157"/>
      <c r="GX27" s="157"/>
      <c r="GY27" s="157"/>
      <c r="GZ27" s="157"/>
      <c r="HA27" s="157"/>
      <c r="HB27" s="157"/>
      <c r="HC27" s="157"/>
      <c r="HD27" s="157"/>
      <c r="HE27" s="157"/>
      <c r="HF27" s="157"/>
      <c r="HG27" s="157"/>
      <c r="HH27" s="157"/>
      <c r="HI27" s="157"/>
      <c r="HJ27" s="157"/>
      <c r="HK27" s="157"/>
      <c r="HL27" s="157"/>
      <c r="HM27" s="157"/>
      <c r="HN27" s="157"/>
      <c r="HO27" s="157"/>
      <c r="HP27" s="157"/>
      <c r="HQ27" s="157"/>
      <c r="HR27" s="157"/>
      <c r="HS27" s="157"/>
      <c r="HT27" s="157"/>
      <c r="HU27" s="157"/>
      <c r="HV27" s="157"/>
      <c r="HW27" s="157"/>
      <c r="HX27" s="157"/>
      <c r="HY27" s="157"/>
      <c r="HZ27" s="157"/>
      <c r="IA27" s="157"/>
      <c r="IB27" s="157"/>
      <c r="IC27" s="157"/>
      <c r="ID27" s="157"/>
      <c r="IE27" s="157"/>
      <c r="IF27" s="157"/>
      <c r="IG27" s="157"/>
      <c r="IH27" s="157"/>
      <c r="II27" s="157"/>
      <c r="IJ27" s="157"/>
      <c r="IK27" s="157"/>
      <c r="IL27" s="157"/>
      <c r="IM27" s="157"/>
      <c r="IN27" s="157"/>
      <c r="IO27" s="157"/>
      <c r="IP27" s="157"/>
      <c r="IQ27" s="157"/>
      <c r="IR27" s="157"/>
      <c r="IS27" s="157"/>
      <c r="IT27" s="157"/>
      <c r="IU27" s="157"/>
      <c r="IV27" s="157"/>
      <c r="IW27" s="157"/>
      <c r="IX27" s="157"/>
      <c r="IY27" s="157"/>
      <c r="IZ27" s="157"/>
      <c r="JA27" s="157"/>
      <c r="JB27" s="157"/>
      <c r="JC27" s="157"/>
      <c r="JD27" s="157"/>
      <c r="JE27" s="157"/>
      <c r="JF27" s="157"/>
      <c r="JG27" s="157"/>
      <c r="JH27" s="157"/>
      <c r="JI27" s="157"/>
      <c r="JJ27" s="157"/>
      <c r="JK27" s="157"/>
      <c r="JL27" s="157"/>
      <c r="JM27" s="157"/>
      <c r="JN27" s="157"/>
      <c r="JO27" s="157"/>
      <c r="JP27" s="157"/>
      <c r="JQ27" s="157"/>
      <c r="JR27" s="157"/>
      <c r="JS27" s="157"/>
      <c r="JT27" s="157"/>
      <c r="JU27" s="157"/>
      <c r="JV27" s="157"/>
      <c r="JW27" s="157"/>
      <c r="JX27" s="157"/>
      <c r="JY27" s="157"/>
      <c r="JZ27" s="157"/>
      <c r="KA27" s="157"/>
      <c r="KB27" s="157"/>
      <c r="KC27" s="157"/>
      <c r="KD27" s="157"/>
      <c r="KE27" s="157"/>
      <c r="KF27" s="157"/>
      <c r="KG27" s="157"/>
      <c r="KH27" s="157"/>
      <c r="KI27" s="157"/>
      <c r="KJ27" s="157"/>
      <c r="KK27" s="157"/>
      <c r="KL27" s="157"/>
    </row>
    <row r="28" spans="142:298">
      <c r="EL28" s="172"/>
      <c r="EM28" s="157"/>
      <c r="EO28" s="172"/>
      <c r="EP28" s="157"/>
      <c r="EQ28" s="157"/>
      <c r="ER28" s="172"/>
      <c r="ES28" s="157"/>
      <c r="ET28" s="157"/>
      <c r="EU28" s="172"/>
      <c r="EV28" s="157"/>
      <c r="EW28" s="157"/>
      <c r="EX28" s="172"/>
      <c r="EY28" s="157"/>
      <c r="EZ28" s="157"/>
      <c r="FA28" s="172"/>
      <c r="FB28" s="157"/>
      <c r="FC28" s="157"/>
      <c r="FD28" s="172"/>
      <c r="FE28" s="157"/>
      <c r="FF28" s="157"/>
      <c r="FG28" s="172"/>
      <c r="FH28" s="157"/>
      <c r="FI28" s="157"/>
      <c r="FJ28" s="157"/>
      <c r="FK28" s="157"/>
      <c r="FL28" s="157"/>
      <c r="FM28" s="172"/>
      <c r="FN28" s="157"/>
      <c r="FO28" s="157"/>
      <c r="FP28" s="157"/>
      <c r="FQ28" s="157"/>
      <c r="FR28" s="157"/>
      <c r="FS28" s="172"/>
      <c r="FT28" s="157"/>
      <c r="FU28" s="157"/>
      <c r="FV28" s="157"/>
      <c r="FW28" s="157"/>
      <c r="FX28" s="157"/>
      <c r="FY28" s="172"/>
      <c r="FZ28" s="157"/>
      <c r="GA28" s="157"/>
      <c r="GB28" s="157"/>
      <c r="GC28" s="157"/>
      <c r="GD28" s="157"/>
      <c r="GE28" s="157"/>
      <c r="GF28" s="157"/>
      <c r="GG28" s="157"/>
      <c r="GH28" s="157"/>
      <c r="GI28" s="157"/>
      <c r="GJ28" s="157"/>
      <c r="GK28" s="157"/>
      <c r="GL28" s="157"/>
      <c r="GM28" s="157"/>
      <c r="GN28" s="157"/>
      <c r="GO28" s="157"/>
      <c r="GP28" s="157"/>
      <c r="GQ28" s="157"/>
      <c r="GR28" s="157"/>
      <c r="GS28" s="157"/>
      <c r="GT28" s="157"/>
      <c r="GU28" s="157"/>
      <c r="GV28" s="157"/>
      <c r="GW28" s="157"/>
      <c r="GX28" s="157"/>
      <c r="GY28" s="157"/>
      <c r="GZ28" s="157"/>
      <c r="HA28" s="157"/>
      <c r="HB28" s="157"/>
      <c r="HC28" s="157"/>
      <c r="HD28" s="157"/>
      <c r="HE28" s="157"/>
      <c r="HF28" s="157"/>
      <c r="HG28" s="157"/>
      <c r="HH28" s="157"/>
      <c r="HI28" s="157"/>
      <c r="HJ28" s="157"/>
      <c r="HK28" s="157"/>
      <c r="HL28" s="157"/>
      <c r="HM28" s="157"/>
      <c r="HN28" s="157"/>
      <c r="HO28" s="157"/>
      <c r="HP28" s="157"/>
      <c r="HQ28" s="157"/>
      <c r="HR28" s="157"/>
      <c r="HS28" s="157"/>
      <c r="HT28" s="157"/>
      <c r="HU28" s="157"/>
      <c r="HV28" s="157"/>
      <c r="HW28" s="157"/>
      <c r="HX28" s="157"/>
      <c r="HY28" s="157"/>
      <c r="HZ28" s="157"/>
      <c r="IA28" s="157"/>
      <c r="IB28" s="157"/>
      <c r="IC28" s="157"/>
      <c r="ID28" s="157"/>
      <c r="IE28" s="157"/>
      <c r="IF28" s="157"/>
      <c r="IG28" s="157"/>
      <c r="IH28" s="157"/>
      <c r="II28" s="157"/>
      <c r="IJ28" s="157"/>
      <c r="IK28" s="157"/>
      <c r="IL28" s="157"/>
      <c r="IM28" s="157"/>
      <c r="IN28" s="157"/>
      <c r="IO28" s="157"/>
      <c r="IP28" s="157"/>
      <c r="IQ28" s="157"/>
      <c r="IR28" s="157"/>
      <c r="IS28" s="157"/>
      <c r="IT28" s="157"/>
      <c r="IU28" s="157"/>
      <c r="IV28" s="157"/>
      <c r="IW28" s="157"/>
      <c r="IX28" s="157"/>
      <c r="IY28" s="157"/>
      <c r="IZ28" s="157"/>
      <c r="JA28" s="157"/>
      <c r="JB28" s="157"/>
      <c r="JC28" s="157"/>
      <c r="JD28" s="157"/>
      <c r="JE28" s="157"/>
      <c r="JF28" s="157"/>
      <c r="JG28" s="157"/>
      <c r="JH28" s="157"/>
      <c r="JI28" s="157"/>
      <c r="JJ28" s="157"/>
      <c r="JK28" s="157"/>
      <c r="JL28" s="157"/>
      <c r="JM28" s="157"/>
      <c r="JN28" s="157"/>
      <c r="JO28" s="157"/>
      <c r="JP28" s="157"/>
      <c r="JQ28" s="157"/>
      <c r="JR28" s="157"/>
      <c r="JS28" s="157"/>
      <c r="JT28" s="157"/>
      <c r="JU28" s="157"/>
      <c r="JV28" s="157"/>
      <c r="JW28" s="157"/>
      <c r="JX28" s="157"/>
      <c r="JY28" s="157"/>
      <c r="JZ28" s="157"/>
      <c r="KA28" s="157"/>
      <c r="KB28" s="157"/>
      <c r="KC28" s="157"/>
      <c r="KD28" s="157"/>
      <c r="KE28" s="157"/>
      <c r="KF28" s="157"/>
      <c r="KG28" s="157"/>
      <c r="KH28" s="157"/>
      <c r="KI28" s="157"/>
      <c r="KJ28" s="157"/>
      <c r="KK28" s="157"/>
      <c r="KL28" s="157"/>
    </row>
    <row r="29" spans="142:298">
      <c r="EL29" s="172"/>
      <c r="EM29" s="157"/>
      <c r="EO29" s="172"/>
      <c r="EP29" s="157"/>
      <c r="EQ29" s="157"/>
      <c r="ER29" s="172"/>
      <c r="ES29" s="157"/>
      <c r="ET29" s="157"/>
      <c r="EU29" s="172"/>
      <c r="EV29" s="157"/>
      <c r="EW29" s="157"/>
      <c r="EX29" s="172"/>
      <c r="EY29" s="157"/>
      <c r="EZ29" s="157"/>
      <c r="FA29" s="172"/>
      <c r="FB29" s="157"/>
      <c r="FC29" s="157"/>
      <c r="FD29" s="172"/>
      <c r="FE29" s="157"/>
      <c r="FF29" s="157"/>
      <c r="FG29" s="172"/>
      <c r="FH29" s="157"/>
      <c r="FI29" s="157"/>
      <c r="FJ29" s="157"/>
      <c r="FK29" s="157"/>
      <c r="FL29" s="157"/>
      <c r="FM29" s="172"/>
      <c r="FN29" s="157"/>
      <c r="FO29" s="157"/>
      <c r="FP29" s="157"/>
      <c r="FQ29" s="157"/>
      <c r="FR29" s="157"/>
      <c r="FS29" s="172"/>
      <c r="FT29" s="157"/>
      <c r="FU29" s="157"/>
      <c r="FV29" s="157"/>
      <c r="FW29" s="157"/>
      <c r="FX29" s="157"/>
      <c r="FY29" s="172"/>
      <c r="FZ29" s="157"/>
      <c r="GA29" s="157"/>
      <c r="GB29" s="157"/>
      <c r="GC29" s="157"/>
      <c r="GD29" s="157"/>
      <c r="GE29" s="157"/>
      <c r="GF29" s="157"/>
      <c r="GG29" s="157"/>
      <c r="GH29" s="157"/>
      <c r="GI29" s="157"/>
      <c r="GJ29" s="157"/>
      <c r="GK29" s="157"/>
      <c r="GL29" s="157"/>
      <c r="GM29" s="157"/>
      <c r="GN29" s="157"/>
      <c r="GO29" s="157"/>
      <c r="GP29" s="157"/>
      <c r="GQ29" s="157"/>
      <c r="GR29" s="157"/>
      <c r="GS29" s="157"/>
      <c r="GT29" s="157"/>
      <c r="GU29" s="157"/>
      <c r="GV29" s="157"/>
      <c r="GW29" s="157"/>
      <c r="GX29" s="157"/>
      <c r="GY29" s="157"/>
      <c r="GZ29" s="157"/>
      <c r="HA29" s="157"/>
      <c r="HB29" s="157"/>
      <c r="HC29" s="157"/>
      <c r="HD29" s="157"/>
      <c r="HE29" s="157"/>
      <c r="HF29" s="157"/>
      <c r="HG29" s="157"/>
      <c r="HH29" s="157"/>
      <c r="HI29" s="157"/>
      <c r="HJ29" s="157"/>
      <c r="HK29" s="157"/>
      <c r="HL29" s="157"/>
      <c r="HM29" s="157"/>
      <c r="HN29" s="157"/>
      <c r="HO29" s="157"/>
      <c r="HP29" s="157"/>
      <c r="HQ29" s="157"/>
      <c r="HR29" s="157"/>
      <c r="HS29" s="157"/>
      <c r="HT29" s="157"/>
      <c r="HU29" s="157"/>
      <c r="HV29" s="157"/>
      <c r="HW29" s="157"/>
      <c r="HX29" s="157"/>
      <c r="HY29" s="157"/>
      <c r="HZ29" s="157"/>
      <c r="IA29" s="157"/>
      <c r="IB29" s="157"/>
      <c r="IC29" s="157"/>
      <c r="ID29" s="157"/>
      <c r="IE29" s="157"/>
      <c r="IF29" s="157"/>
      <c r="IG29" s="157"/>
      <c r="IH29" s="157"/>
      <c r="II29" s="157"/>
      <c r="IJ29" s="157"/>
      <c r="IK29" s="157"/>
      <c r="IL29" s="157"/>
      <c r="IM29" s="157"/>
      <c r="IN29" s="157"/>
      <c r="IO29" s="157"/>
      <c r="IP29" s="157"/>
      <c r="IQ29" s="157"/>
      <c r="IR29" s="157"/>
      <c r="IS29" s="157"/>
      <c r="IT29" s="157"/>
      <c r="IU29" s="157"/>
      <c r="IV29" s="157"/>
      <c r="IW29" s="157"/>
      <c r="IX29" s="157"/>
      <c r="IY29" s="157"/>
      <c r="IZ29" s="157"/>
      <c r="JA29" s="157"/>
      <c r="JB29" s="157"/>
      <c r="JC29" s="157"/>
      <c r="JD29" s="157"/>
      <c r="JE29" s="157"/>
      <c r="JF29" s="157"/>
      <c r="JG29" s="157"/>
      <c r="JH29" s="157"/>
      <c r="JI29" s="157"/>
      <c r="JJ29" s="157"/>
      <c r="JK29" s="157"/>
      <c r="JL29" s="157"/>
      <c r="JM29" s="157"/>
      <c r="JN29" s="157"/>
      <c r="JO29" s="157"/>
      <c r="JP29" s="157"/>
      <c r="JQ29" s="157"/>
      <c r="JR29" s="157"/>
      <c r="JS29" s="157"/>
      <c r="JT29" s="157"/>
      <c r="JU29" s="157"/>
      <c r="JV29" s="157"/>
      <c r="JW29" s="157"/>
      <c r="JX29" s="157"/>
      <c r="JY29" s="157"/>
      <c r="JZ29" s="157"/>
      <c r="KA29" s="157"/>
      <c r="KB29" s="157"/>
      <c r="KC29" s="157"/>
      <c r="KD29" s="157"/>
      <c r="KE29" s="157"/>
      <c r="KF29" s="157"/>
      <c r="KG29" s="157"/>
      <c r="KH29" s="157"/>
      <c r="KI29" s="157"/>
      <c r="KJ29" s="157"/>
      <c r="KK29" s="157"/>
      <c r="KL29" s="157"/>
    </row>
    <row r="30" spans="142:298">
      <c r="EL30" s="172"/>
      <c r="EM30" s="157"/>
      <c r="EO30" s="172"/>
      <c r="EP30" s="157"/>
      <c r="EQ30" s="157"/>
      <c r="ER30" s="172"/>
      <c r="ES30" s="157"/>
      <c r="ET30" s="157"/>
      <c r="EU30" s="172"/>
      <c r="EV30" s="157"/>
      <c r="EW30" s="157"/>
      <c r="EX30" s="172"/>
      <c r="EY30" s="157"/>
      <c r="EZ30" s="157"/>
      <c r="FA30" s="172"/>
      <c r="FB30" s="157"/>
      <c r="FC30" s="157"/>
      <c r="FD30" s="172"/>
      <c r="FE30" s="157"/>
      <c r="FF30" s="157"/>
      <c r="FG30" s="172"/>
      <c r="FH30" s="157"/>
      <c r="FI30" s="157"/>
      <c r="FJ30" s="157"/>
      <c r="FK30" s="157"/>
      <c r="FL30" s="157"/>
      <c r="FM30" s="172"/>
      <c r="FN30" s="157"/>
      <c r="FO30" s="157"/>
      <c r="FP30" s="157"/>
      <c r="FQ30" s="157"/>
      <c r="FR30" s="157"/>
      <c r="FS30" s="172"/>
      <c r="FT30" s="157"/>
      <c r="FU30" s="157"/>
      <c r="FV30" s="157"/>
      <c r="FW30" s="157"/>
      <c r="FX30" s="157"/>
      <c r="FY30" s="172"/>
      <c r="FZ30" s="157"/>
      <c r="GA30" s="157"/>
      <c r="GB30" s="157"/>
      <c r="GC30" s="157"/>
      <c r="GD30" s="157"/>
      <c r="GE30" s="157"/>
      <c r="GF30" s="157"/>
      <c r="GG30" s="157"/>
      <c r="GH30" s="157"/>
      <c r="GI30" s="157"/>
      <c r="GJ30" s="157"/>
      <c r="GK30" s="157"/>
      <c r="GL30" s="157"/>
      <c r="GM30" s="157"/>
      <c r="GN30" s="157"/>
      <c r="GO30" s="157"/>
      <c r="GP30" s="157"/>
      <c r="GQ30" s="157"/>
      <c r="GR30" s="157"/>
      <c r="GS30" s="157"/>
      <c r="GT30" s="157"/>
      <c r="GU30" s="157"/>
      <c r="GV30" s="157"/>
      <c r="GW30" s="157"/>
      <c r="GX30" s="157"/>
      <c r="GY30" s="157"/>
      <c r="GZ30" s="157"/>
      <c r="HA30" s="157"/>
      <c r="HB30" s="157"/>
      <c r="HC30" s="157"/>
      <c r="HD30" s="157"/>
      <c r="HE30" s="157"/>
      <c r="HF30" s="157"/>
      <c r="HG30" s="157"/>
      <c r="HH30" s="157"/>
      <c r="HI30" s="157"/>
      <c r="HJ30" s="157"/>
      <c r="HK30" s="157"/>
      <c r="HL30" s="157"/>
      <c r="HM30" s="157"/>
      <c r="HN30" s="157"/>
      <c r="HO30" s="157"/>
      <c r="HP30" s="157"/>
      <c r="HQ30" s="157"/>
      <c r="HR30" s="157"/>
      <c r="HS30" s="157"/>
      <c r="HT30" s="157"/>
      <c r="HU30" s="157"/>
      <c r="HV30" s="157"/>
      <c r="HW30" s="157"/>
      <c r="HX30" s="157"/>
      <c r="HY30" s="157"/>
      <c r="HZ30" s="157"/>
      <c r="IA30" s="157"/>
      <c r="IB30" s="157"/>
      <c r="IC30" s="157"/>
      <c r="ID30" s="157"/>
      <c r="IE30" s="157"/>
      <c r="IF30" s="157"/>
      <c r="IG30" s="157"/>
      <c r="IH30" s="157"/>
      <c r="II30" s="157"/>
      <c r="IJ30" s="157"/>
      <c r="IK30" s="157"/>
      <c r="IL30" s="157"/>
      <c r="IM30" s="157"/>
      <c r="IN30" s="157"/>
      <c r="IO30" s="157"/>
      <c r="IP30" s="157"/>
      <c r="IQ30" s="157"/>
      <c r="IR30" s="157"/>
      <c r="IS30" s="157"/>
      <c r="IT30" s="157"/>
      <c r="IU30" s="157"/>
      <c r="IV30" s="157"/>
      <c r="IW30" s="157"/>
      <c r="IX30" s="157"/>
      <c r="IY30" s="157"/>
      <c r="IZ30" s="157"/>
      <c r="JA30" s="157"/>
      <c r="JB30" s="157"/>
      <c r="JC30" s="157"/>
      <c r="JD30" s="157"/>
      <c r="JE30" s="157"/>
      <c r="JF30" s="157"/>
      <c r="JG30" s="157"/>
      <c r="JH30" s="157"/>
      <c r="JI30" s="157"/>
      <c r="JJ30" s="157"/>
      <c r="JK30" s="157"/>
      <c r="JL30" s="157"/>
      <c r="JM30" s="157"/>
      <c r="JN30" s="157"/>
      <c r="JO30" s="157"/>
      <c r="JP30" s="157"/>
      <c r="JQ30" s="157"/>
      <c r="JR30" s="157"/>
      <c r="JS30" s="157"/>
      <c r="JT30" s="157"/>
      <c r="JU30" s="157"/>
      <c r="JV30" s="157"/>
      <c r="JW30" s="157"/>
      <c r="JX30" s="157"/>
      <c r="JY30" s="157"/>
      <c r="JZ30" s="157"/>
      <c r="KA30" s="157"/>
      <c r="KB30" s="157"/>
      <c r="KC30" s="157"/>
      <c r="KD30" s="157"/>
      <c r="KE30" s="157"/>
      <c r="KF30" s="157"/>
      <c r="KG30" s="157"/>
      <c r="KH30" s="157"/>
      <c r="KI30" s="157"/>
      <c r="KJ30" s="157"/>
      <c r="KK30" s="157"/>
      <c r="KL30" s="157"/>
    </row>
    <row r="31" spans="142:298">
      <c r="EL31" s="172"/>
      <c r="EM31" s="157"/>
      <c r="EO31" s="172"/>
      <c r="EP31" s="157"/>
      <c r="EQ31" s="157"/>
      <c r="ER31" s="172"/>
      <c r="ES31" s="157"/>
      <c r="ET31" s="157"/>
      <c r="EU31" s="172"/>
      <c r="EV31" s="157"/>
      <c r="EW31" s="157"/>
      <c r="EX31" s="172"/>
      <c r="EY31" s="157"/>
      <c r="EZ31" s="157"/>
      <c r="FA31" s="172"/>
      <c r="FB31" s="157"/>
      <c r="FC31" s="157"/>
      <c r="FD31" s="172"/>
      <c r="FE31" s="157"/>
      <c r="FF31" s="157"/>
      <c r="FG31" s="172"/>
      <c r="FH31" s="157"/>
      <c r="FI31" s="157"/>
      <c r="FJ31" s="157"/>
      <c r="FK31" s="157"/>
      <c r="FL31" s="157"/>
      <c r="FM31" s="172"/>
      <c r="FN31" s="157"/>
      <c r="FO31" s="157"/>
      <c r="FP31" s="157"/>
      <c r="FQ31" s="157"/>
      <c r="FR31" s="157"/>
      <c r="FS31" s="172"/>
      <c r="FT31" s="157"/>
      <c r="FU31" s="157"/>
      <c r="FV31" s="157"/>
      <c r="FW31" s="157"/>
      <c r="FX31" s="157"/>
      <c r="FY31" s="172"/>
      <c r="FZ31" s="157"/>
      <c r="GA31" s="157"/>
      <c r="GB31" s="157"/>
      <c r="GC31" s="157"/>
      <c r="GD31" s="157"/>
      <c r="GE31" s="157"/>
      <c r="GF31" s="157"/>
      <c r="GG31" s="157"/>
      <c r="GH31" s="157"/>
      <c r="GI31" s="157"/>
      <c r="GJ31" s="157"/>
      <c r="GK31" s="157"/>
      <c r="GL31" s="157"/>
      <c r="GM31" s="157"/>
      <c r="GN31" s="157"/>
      <c r="GO31" s="157"/>
      <c r="GP31" s="157"/>
      <c r="GQ31" s="157"/>
      <c r="GR31" s="157"/>
      <c r="GS31" s="157"/>
      <c r="GT31" s="157"/>
      <c r="GU31" s="157"/>
      <c r="GV31" s="157"/>
      <c r="GW31" s="157"/>
      <c r="GX31" s="157"/>
      <c r="GY31" s="157"/>
      <c r="GZ31" s="157"/>
      <c r="HA31" s="157"/>
      <c r="HB31" s="157"/>
      <c r="HC31" s="157"/>
      <c r="HD31" s="157"/>
      <c r="HE31" s="157"/>
      <c r="HF31" s="157"/>
      <c r="HG31" s="157"/>
      <c r="HH31" s="157"/>
      <c r="HI31" s="157"/>
      <c r="HJ31" s="157"/>
      <c r="HK31" s="157"/>
      <c r="HL31" s="157"/>
      <c r="HM31" s="157"/>
      <c r="HN31" s="157"/>
      <c r="HO31" s="157"/>
      <c r="HP31" s="157"/>
      <c r="HQ31" s="157"/>
      <c r="HR31" s="157"/>
      <c r="HS31" s="157"/>
      <c r="HT31" s="157"/>
      <c r="HU31" s="157"/>
      <c r="HV31" s="157"/>
      <c r="HW31" s="157"/>
      <c r="HX31" s="157"/>
      <c r="HY31" s="157"/>
      <c r="HZ31" s="157"/>
      <c r="IA31" s="157"/>
      <c r="IB31" s="157"/>
      <c r="IC31" s="157"/>
      <c r="ID31" s="157"/>
      <c r="IE31" s="157"/>
      <c r="IF31" s="157"/>
      <c r="IG31" s="157"/>
      <c r="IH31" s="157"/>
      <c r="II31" s="157"/>
      <c r="IJ31" s="157"/>
      <c r="IK31" s="157"/>
      <c r="IL31" s="157"/>
      <c r="IM31" s="157"/>
      <c r="IN31" s="157"/>
      <c r="IO31" s="157"/>
      <c r="IP31" s="157"/>
      <c r="IQ31" s="157"/>
      <c r="IR31" s="157"/>
      <c r="IS31" s="157"/>
      <c r="IT31" s="157"/>
      <c r="IU31" s="157"/>
      <c r="IV31" s="157"/>
      <c r="IW31" s="157"/>
      <c r="IX31" s="157"/>
      <c r="IY31" s="157"/>
      <c r="IZ31" s="157"/>
      <c r="JA31" s="157"/>
      <c r="JB31" s="157"/>
      <c r="JC31" s="157"/>
      <c r="JD31" s="157"/>
      <c r="JE31" s="157"/>
      <c r="JF31" s="157"/>
      <c r="JG31" s="157"/>
      <c r="JH31" s="157"/>
      <c r="JI31" s="157"/>
      <c r="JJ31" s="157"/>
      <c r="JK31" s="157"/>
      <c r="JL31" s="157"/>
      <c r="JM31" s="157"/>
      <c r="JN31" s="157"/>
      <c r="JO31" s="157"/>
      <c r="JP31" s="157"/>
      <c r="JQ31" s="157"/>
      <c r="JR31" s="157"/>
      <c r="JS31" s="157"/>
      <c r="JT31" s="157"/>
      <c r="JU31" s="157"/>
      <c r="JV31" s="157"/>
      <c r="JW31" s="157"/>
      <c r="JX31" s="157"/>
      <c r="JY31" s="157"/>
      <c r="JZ31" s="157"/>
      <c r="KA31" s="157"/>
      <c r="KB31" s="157"/>
      <c r="KC31" s="157"/>
      <c r="KD31" s="157"/>
      <c r="KE31" s="157"/>
      <c r="KF31" s="157"/>
      <c r="KG31" s="157"/>
      <c r="KH31" s="157"/>
      <c r="KI31" s="157"/>
      <c r="KJ31" s="157"/>
      <c r="KK31" s="157"/>
      <c r="KL31" s="157"/>
    </row>
    <row r="32" spans="142:298">
      <c r="EL32" s="172"/>
      <c r="EM32" s="157"/>
      <c r="EO32" s="172"/>
      <c r="EP32" s="157"/>
      <c r="EQ32" s="157"/>
      <c r="ER32" s="172"/>
      <c r="ES32" s="157"/>
      <c r="ET32" s="157"/>
      <c r="EU32" s="172"/>
      <c r="EV32" s="157"/>
      <c r="EW32" s="157"/>
      <c r="EX32" s="172"/>
      <c r="EY32" s="157"/>
      <c r="EZ32" s="157"/>
      <c r="FA32" s="172"/>
      <c r="FB32" s="157"/>
      <c r="FC32" s="157"/>
      <c r="FD32" s="172"/>
      <c r="FE32" s="157"/>
      <c r="FF32" s="157"/>
      <c r="FG32" s="172"/>
      <c r="FH32" s="157"/>
      <c r="FI32" s="157"/>
      <c r="FJ32" s="157"/>
      <c r="FK32" s="157"/>
      <c r="FL32" s="157"/>
      <c r="FM32" s="172"/>
      <c r="FN32" s="157"/>
      <c r="FO32" s="157"/>
      <c r="FP32" s="157"/>
      <c r="FQ32" s="157"/>
      <c r="FR32" s="157"/>
      <c r="FS32" s="172"/>
      <c r="FT32" s="157"/>
      <c r="FU32" s="157"/>
      <c r="FV32" s="157"/>
      <c r="FW32" s="157"/>
      <c r="FX32" s="157"/>
      <c r="FY32" s="172"/>
      <c r="FZ32" s="157"/>
      <c r="GA32" s="157"/>
      <c r="GB32" s="157"/>
      <c r="GC32" s="157"/>
      <c r="GD32" s="157"/>
      <c r="GE32" s="157"/>
      <c r="GF32" s="157"/>
      <c r="GG32" s="157"/>
      <c r="GH32" s="157"/>
      <c r="GI32" s="157"/>
      <c r="GJ32" s="157"/>
      <c r="GK32" s="157"/>
      <c r="GL32" s="157"/>
      <c r="GM32" s="157"/>
      <c r="GN32" s="157"/>
      <c r="GO32" s="157"/>
      <c r="GP32" s="157"/>
      <c r="GQ32" s="157"/>
      <c r="GR32" s="157"/>
      <c r="GS32" s="157"/>
      <c r="GT32" s="157"/>
      <c r="GU32" s="157"/>
      <c r="GV32" s="157"/>
      <c r="GW32" s="157"/>
      <c r="GX32" s="157"/>
      <c r="GY32" s="157"/>
      <c r="GZ32" s="157"/>
      <c r="HA32" s="157"/>
      <c r="HB32" s="157"/>
      <c r="HC32" s="157"/>
      <c r="HD32" s="157"/>
      <c r="HE32" s="157"/>
      <c r="HF32" s="157"/>
      <c r="HG32" s="157"/>
      <c r="HH32" s="157"/>
      <c r="HI32" s="157"/>
      <c r="HJ32" s="157"/>
      <c r="HK32" s="157"/>
      <c r="HL32" s="157"/>
      <c r="HM32" s="157"/>
      <c r="HN32" s="157"/>
      <c r="HO32" s="157"/>
      <c r="HP32" s="157"/>
      <c r="HQ32" s="157"/>
      <c r="HR32" s="157"/>
      <c r="HS32" s="157"/>
      <c r="HT32" s="157"/>
      <c r="HU32" s="157"/>
      <c r="HV32" s="157"/>
      <c r="HW32" s="157"/>
      <c r="HX32" s="157"/>
      <c r="HY32" s="157"/>
      <c r="HZ32" s="157"/>
      <c r="IA32" s="157"/>
      <c r="IB32" s="157"/>
      <c r="IC32" s="157"/>
      <c r="ID32" s="157"/>
      <c r="IE32" s="157"/>
      <c r="IF32" s="157"/>
      <c r="IG32" s="157"/>
      <c r="IH32" s="157"/>
      <c r="II32" s="157"/>
      <c r="IJ32" s="157"/>
      <c r="IK32" s="157"/>
      <c r="IL32" s="157"/>
      <c r="IM32" s="157"/>
      <c r="IN32" s="157"/>
      <c r="IO32" s="157"/>
      <c r="IP32" s="157"/>
      <c r="IQ32" s="157"/>
      <c r="IR32" s="157"/>
      <c r="IS32" s="157"/>
      <c r="IT32" s="157"/>
      <c r="IU32" s="157"/>
      <c r="IV32" s="157"/>
      <c r="IW32" s="157"/>
      <c r="IX32" s="157"/>
      <c r="IY32" s="157"/>
      <c r="IZ32" s="157"/>
      <c r="JA32" s="157"/>
      <c r="JB32" s="157"/>
      <c r="JC32" s="157"/>
      <c r="JD32" s="157"/>
      <c r="JE32" s="157"/>
      <c r="JF32" s="157"/>
      <c r="JG32" s="157"/>
      <c r="JH32" s="157"/>
      <c r="JI32" s="157"/>
      <c r="JJ32" s="157"/>
      <c r="JK32" s="157"/>
      <c r="JL32" s="157"/>
      <c r="JM32" s="157"/>
      <c r="JN32" s="157"/>
      <c r="JO32" s="157"/>
      <c r="JP32" s="157"/>
      <c r="JQ32" s="157"/>
      <c r="JR32" s="157"/>
      <c r="JS32" s="157"/>
      <c r="JT32" s="157"/>
      <c r="JU32" s="157"/>
      <c r="JV32" s="157"/>
      <c r="JW32" s="157"/>
      <c r="JX32" s="157"/>
      <c r="JY32" s="157"/>
      <c r="JZ32" s="157"/>
      <c r="KA32" s="157"/>
      <c r="KB32" s="157"/>
      <c r="KC32" s="157"/>
      <c r="KD32" s="157"/>
      <c r="KE32" s="157"/>
      <c r="KF32" s="157"/>
      <c r="KG32" s="157"/>
      <c r="KH32" s="157"/>
      <c r="KI32" s="157"/>
      <c r="KJ32" s="157"/>
      <c r="KK32" s="157"/>
      <c r="KL32" s="157"/>
    </row>
  </sheetData>
  <customSheetViews>
    <customSheetView guid="{786DE933-524F-40D1-8033-C008687087FC}">
      <pageMargins left="0.7" right="0.7" top="0.75" bottom="0.75" header="0.3" footer="0.3"/>
    </customSheetView>
    <customSheetView guid="{627AEB6E-B9F1-415E-9A60-881757A50C67}">
      <selection activeCell="A14" sqref="A14"/>
      <pageMargins left="0.7" right="0.7" top="0.75" bottom="0.75" header="0.3" footer="0.3"/>
    </customSheetView>
    <customSheetView guid="{874BA5F8-BD95-4DDF-8F31-98DB154CA965}">
      <selection activeCell="A14" sqref="A14"/>
      <pageMargins left="0.7" right="0.7" top="0.75" bottom="0.75" header="0.3" footer="0.3"/>
    </customSheetView>
    <customSheetView guid="{AAA495E0-27FD-4941-85B8-9038B6AD4FA3}">
      <selection activeCell="A14" sqref="A14"/>
      <pageMargins left="0.7" right="0.7" top="0.75" bottom="0.75" header="0.3" footer="0.3"/>
    </customSheetView>
    <customSheetView guid="{77EFF5B1-32BE-4080-9902-B97F43099026}">
      <pageMargins left="0.7" right="0.7" top="0.75" bottom="0.75" header="0.3" footer="0.3"/>
    </customSheetView>
  </customSheetViews>
  <mergeCells count="67">
    <mergeCell ref="GT2:GU2"/>
    <mergeCell ref="DW2:DX2"/>
    <mergeCell ref="GN2:GO2"/>
    <mergeCell ref="EC2:ED2"/>
    <mergeCell ref="EI2:EJ2"/>
    <mergeCell ref="EF2:EG2"/>
    <mergeCell ref="GE2:GF2"/>
    <mergeCell ref="GH2:GI2"/>
    <mergeCell ref="FA2:FB2"/>
    <mergeCell ref="FG2:FH2"/>
    <mergeCell ref="FM2:FN2"/>
    <mergeCell ref="FV2:FW2"/>
    <mergeCell ref="GK2:GL2"/>
    <mergeCell ref="GQ2:GR2"/>
    <mergeCell ref="ER2:ES2"/>
    <mergeCell ref="GB2:GC2"/>
    <mergeCell ref="FS2:FT2"/>
    <mergeCell ref="FY2:FZ2"/>
    <mergeCell ref="EX2:EY2"/>
    <mergeCell ref="FD2:FE2"/>
    <mergeCell ref="FJ2:FK2"/>
    <mergeCell ref="FP2:FQ2"/>
    <mergeCell ref="EU2:EV2"/>
    <mergeCell ref="DN2:DO2"/>
    <mergeCell ref="DQ2:DR2"/>
    <mergeCell ref="DT2:DU2"/>
    <mergeCell ref="DZ2:EA2"/>
    <mergeCell ref="EO2:EP2"/>
    <mergeCell ref="EL2:EM2"/>
    <mergeCell ref="CL2:CM2"/>
    <mergeCell ref="BQ2:BR2"/>
    <mergeCell ref="BT2:BU2"/>
    <mergeCell ref="BW2:BX2"/>
    <mergeCell ref="CC2:CD2"/>
    <mergeCell ref="CF2:CG2"/>
    <mergeCell ref="CI2:CJ2"/>
    <mergeCell ref="DK2:DL2"/>
    <mergeCell ref="DH2:DI2"/>
    <mergeCell ref="CU2:CV2"/>
    <mergeCell ref="CX2:CY2"/>
    <mergeCell ref="CO2:CP2"/>
    <mergeCell ref="CR2:CS2"/>
    <mergeCell ref="DA2:DB2"/>
    <mergeCell ref="DD2:DE2"/>
    <mergeCell ref="BE2:BF2"/>
    <mergeCell ref="BH2:BI2"/>
    <mergeCell ref="BK2:BL2"/>
    <mergeCell ref="BN2:BO2"/>
    <mergeCell ref="BZ2:CA2"/>
    <mergeCell ref="BB2:BC2"/>
    <mergeCell ref="AP2:AQ2"/>
    <mergeCell ref="AS2:AT2"/>
    <mergeCell ref="AV2:AW2"/>
    <mergeCell ref="AY2:AZ2"/>
    <mergeCell ref="C2:D2"/>
    <mergeCell ref="F2:G2"/>
    <mergeCell ref="AG2:AH2"/>
    <mergeCell ref="AJ2:AK2"/>
    <mergeCell ref="AM2:AN2"/>
    <mergeCell ref="R2:S2"/>
    <mergeCell ref="U2:V2"/>
    <mergeCell ref="AA2:AB2"/>
    <mergeCell ref="X2:Y2"/>
    <mergeCell ref="AD2:AE2"/>
    <mergeCell ref="I2:J2"/>
    <mergeCell ref="L2:M2"/>
    <mergeCell ref="O2:P2"/>
  </mergeCells>
  <pageMargins left="0.70866141732283472" right="0.70866141732283472" top="0.74803149606299213" bottom="0.74803149606299213" header="0.31496062992125984" footer="0.31496062992125984"/>
  <pageSetup paperSize="9" scale="1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  <pageSetUpPr fitToPage="1"/>
  </sheetPr>
  <dimension ref="A1:Q38"/>
  <sheetViews>
    <sheetView workbookViewId="0">
      <selection activeCell="A20" sqref="A20"/>
    </sheetView>
  </sheetViews>
  <sheetFormatPr defaultColWidth="9.28515625" defaultRowHeight="15"/>
  <cols>
    <col min="1" max="1" width="90.28515625" style="419" customWidth="1"/>
    <col min="2" max="2" width="8.28515625" style="419" customWidth="1"/>
    <col min="3" max="3" width="23.85546875" style="419" customWidth="1"/>
    <col min="4" max="4" width="22" style="419" customWidth="1"/>
    <col min="5" max="5" width="24" style="419" customWidth="1"/>
    <col min="6" max="6" width="24.85546875" style="419" customWidth="1"/>
    <col min="7" max="7" width="9.28515625" style="419"/>
    <col min="8" max="12" width="9.28515625" style="10"/>
    <col min="13" max="16384" width="9.28515625" style="419"/>
  </cols>
  <sheetData>
    <row r="1" spans="1:17" ht="20.25">
      <c r="A1" s="254" t="s">
        <v>203</v>
      </c>
      <c r="B1" s="86"/>
      <c r="C1" s="86"/>
      <c r="D1" s="86"/>
      <c r="E1" s="86"/>
      <c r="F1" s="86"/>
    </row>
    <row r="2" spans="1:17" ht="100.5" customHeight="1">
      <c r="A2" s="255" t="s">
        <v>664</v>
      </c>
      <c r="B2" s="73" t="s">
        <v>204</v>
      </c>
      <c r="C2" s="68" t="s">
        <v>902</v>
      </c>
      <c r="D2" s="68" t="s">
        <v>903</v>
      </c>
      <c r="E2" s="68" t="s">
        <v>904</v>
      </c>
      <c r="F2" s="68" t="s">
        <v>905</v>
      </c>
    </row>
    <row r="3" spans="1:17">
      <c r="A3" s="76"/>
      <c r="B3" s="82"/>
      <c r="C3" s="82"/>
      <c r="D3" s="82"/>
      <c r="E3" s="82"/>
      <c r="F3" s="82"/>
    </row>
    <row r="4" spans="1:17">
      <c r="A4" s="123" t="s">
        <v>48</v>
      </c>
      <c r="B4" s="499">
        <v>12</v>
      </c>
      <c r="C4" s="414">
        <v>7746</v>
      </c>
      <c r="D4" s="414">
        <v>23030</v>
      </c>
      <c r="E4" s="633">
        <v>9160</v>
      </c>
      <c r="F4" s="633">
        <v>31783</v>
      </c>
      <c r="M4" s="526"/>
      <c r="N4" s="526"/>
      <c r="O4" s="526"/>
      <c r="P4" s="526"/>
      <c r="Q4" s="526"/>
    </row>
    <row r="5" spans="1:17">
      <c r="A5" s="123" t="s">
        <v>731</v>
      </c>
      <c r="B5" s="499">
        <v>13</v>
      </c>
      <c r="C5" s="414">
        <v>380</v>
      </c>
      <c r="D5" s="414">
        <v>2496</v>
      </c>
      <c r="E5" s="633">
        <v>1903</v>
      </c>
      <c r="F5" s="633">
        <v>6182</v>
      </c>
      <c r="M5" s="526"/>
      <c r="N5" s="526"/>
      <c r="O5" s="526"/>
      <c r="P5" s="526"/>
      <c r="Q5" s="526"/>
    </row>
    <row r="6" spans="1:17">
      <c r="A6" s="268" t="s">
        <v>608</v>
      </c>
      <c r="B6" s="499">
        <v>14</v>
      </c>
      <c r="C6" s="414">
        <v>-6913</v>
      </c>
      <c r="D6" s="414">
        <v>-23272</v>
      </c>
      <c r="E6" s="633">
        <v>-10101</v>
      </c>
      <c r="F6" s="633">
        <v>-33418</v>
      </c>
      <c r="G6" s="457"/>
      <c r="M6" s="526"/>
      <c r="N6" s="526"/>
      <c r="O6" s="526"/>
      <c r="P6" s="526"/>
      <c r="Q6" s="526"/>
    </row>
    <row r="7" spans="1:17">
      <c r="A7" s="259" t="s">
        <v>906</v>
      </c>
      <c r="B7" s="500"/>
      <c r="C7" s="260">
        <v>1213</v>
      </c>
      <c r="D7" s="260">
        <v>2254</v>
      </c>
      <c r="E7" s="260">
        <v>962</v>
      </c>
      <c r="F7" s="260">
        <v>4547</v>
      </c>
      <c r="M7" s="526"/>
      <c r="N7" s="526"/>
      <c r="O7" s="526"/>
      <c r="P7" s="526"/>
      <c r="Q7" s="526"/>
    </row>
    <row r="8" spans="1:17">
      <c r="A8" s="123" t="s">
        <v>205</v>
      </c>
      <c r="B8" s="499">
        <v>14</v>
      </c>
      <c r="C8" s="414">
        <v>-170</v>
      </c>
      <c r="D8" s="414">
        <v>-542</v>
      </c>
      <c r="E8" s="633">
        <v>-202</v>
      </c>
      <c r="F8" s="633">
        <v>-561</v>
      </c>
      <c r="M8" s="526"/>
      <c r="N8" s="526"/>
      <c r="O8" s="526"/>
      <c r="P8" s="526"/>
      <c r="Q8" s="526"/>
    </row>
    <row r="9" spans="1:17">
      <c r="A9" s="123" t="s">
        <v>206</v>
      </c>
      <c r="B9" s="499">
        <v>14</v>
      </c>
      <c r="C9" s="414">
        <v>-169</v>
      </c>
      <c r="D9" s="414">
        <v>-538</v>
      </c>
      <c r="E9" s="633">
        <v>-167</v>
      </c>
      <c r="F9" s="633">
        <v>-503</v>
      </c>
      <c r="M9" s="526"/>
      <c r="N9" s="526"/>
      <c r="O9" s="526"/>
      <c r="P9" s="526"/>
      <c r="Q9" s="526"/>
    </row>
    <row r="10" spans="1:17">
      <c r="A10" s="123" t="s">
        <v>537</v>
      </c>
      <c r="B10" s="499"/>
      <c r="C10" s="414">
        <v>2</v>
      </c>
      <c r="D10" s="414">
        <v>46</v>
      </c>
      <c r="E10" s="633">
        <v>15</v>
      </c>
      <c r="F10" s="633">
        <v>247</v>
      </c>
      <c r="M10" s="526"/>
      <c r="N10" s="526"/>
      <c r="O10" s="526"/>
      <c r="P10" s="526"/>
      <c r="Q10" s="526"/>
    </row>
    <row r="11" spans="1:17">
      <c r="A11" s="123" t="s">
        <v>743</v>
      </c>
      <c r="B11" s="499">
        <v>22</v>
      </c>
      <c r="C11" s="414">
        <v>70</v>
      </c>
      <c r="D11" s="414">
        <v>85</v>
      </c>
      <c r="E11" s="633">
        <v>32</v>
      </c>
      <c r="F11" s="633">
        <v>95</v>
      </c>
      <c r="M11" s="526"/>
      <c r="N11" s="526"/>
      <c r="O11" s="526"/>
      <c r="P11" s="526"/>
      <c r="Q11" s="526"/>
    </row>
    <row r="12" spans="1:17">
      <c r="A12" s="259" t="s">
        <v>907</v>
      </c>
      <c r="B12" s="500"/>
      <c r="C12" s="260">
        <v>946</v>
      </c>
      <c r="D12" s="260">
        <v>1305</v>
      </c>
      <c r="E12" s="260">
        <v>640</v>
      </c>
      <c r="F12" s="260">
        <v>3825</v>
      </c>
      <c r="M12" s="526"/>
      <c r="N12" s="526"/>
      <c r="O12" s="526"/>
      <c r="P12" s="526"/>
      <c r="Q12" s="526"/>
    </row>
    <row r="13" spans="1:17">
      <c r="A13" s="124" t="s">
        <v>208</v>
      </c>
      <c r="B13" s="499">
        <v>15</v>
      </c>
      <c r="C13" s="414">
        <v>-155</v>
      </c>
      <c r="D13" s="414">
        <v>-497</v>
      </c>
      <c r="E13" s="633">
        <v>-181</v>
      </c>
      <c r="F13" s="633">
        <v>-619</v>
      </c>
      <c r="M13" s="526"/>
      <c r="N13" s="526"/>
      <c r="O13" s="526"/>
      <c r="P13" s="526"/>
      <c r="Q13" s="526"/>
    </row>
    <row r="14" spans="1:17">
      <c r="A14" s="124" t="s">
        <v>538</v>
      </c>
      <c r="B14" s="499">
        <v>15</v>
      </c>
      <c r="C14" s="414">
        <v>-41</v>
      </c>
      <c r="D14" s="414">
        <v>-77</v>
      </c>
      <c r="E14" s="633">
        <v>30</v>
      </c>
      <c r="F14" s="633">
        <v>-191</v>
      </c>
      <c r="M14" s="526"/>
      <c r="N14" s="526"/>
      <c r="O14" s="526"/>
      <c r="P14" s="526"/>
      <c r="Q14" s="526"/>
    </row>
    <row r="15" spans="1:17">
      <c r="A15" s="122" t="s">
        <v>908</v>
      </c>
      <c r="B15" s="499"/>
      <c r="C15" s="415">
        <v>750</v>
      </c>
      <c r="D15" s="415">
        <v>731</v>
      </c>
      <c r="E15" s="636">
        <v>489</v>
      </c>
      <c r="F15" s="636">
        <v>3015</v>
      </c>
      <c r="M15" s="526"/>
      <c r="N15" s="526"/>
      <c r="O15" s="526"/>
      <c r="P15" s="526"/>
      <c r="Q15" s="526"/>
    </row>
    <row r="16" spans="1:17">
      <c r="A16" s="123" t="s">
        <v>209</v>
      </c>
      <c r="B16" s="499">
        <v>16</v>
      </c>
      <c r="C16" s="414">
        <v>-114</v>
      </c>
      <c r="D16" s="414">
        <v>-938</v>
      </c>
      <c r="E16" s="633">
        <v>-102</v>
      </c>
      <c r="F16" s="633">
        <v>-752</v>
      </c>
      <c r="M16" s="526"/>
      <c r="N16" s="526"/>
      <c r="O16" s="526"/>
      <c r="P16" s="526"/>
      <c r="Q16" s="526"/>
    </row>
    <row r="17" spans="1:17" ht="15" customHeight="1">
      <c r="A17" s="259" t="s">
        <v>882</v>
      </c>
      <c r="B17" s="500"/>
      <c r="C17" s="260">
        <v>636</v>
      </c>
      <c r="D17" s="260">
        <v>-207</v>
      </c>
      <c r="E17" s="260">
        <v>387</v>
      </c>
      <c r="F17" s="260">
        <v>2263</v>
      </c>
      <c r="M17" s="526"/>
      <c r="N17" s="526"/>
      <c r="O17" s="526"/>
      <c r="P17" s="526"/>
      <c r="Q17" s="526"/>
    </row>
    <row r="18" spans="1:17" ht="16.5" customHeight="1">
      <c r="A18" s="122"/>
      <c r="B18" s="501"/>
      <c r="C18" s="501"/>
      <c r="D18" s="501"/>
      <c r="E18" s="501"/>
      <c r="F18" s="501"/>
      <c r="M18" s="526"/>
      <c r="N18" s="526"/>
      <c r="O18" s="526"/>
      <c r="P18" s="526"/>
      <c r="Q18" s="526"/>
    </row>
    <row r="19" spans="1:17">
      <c r="A19" s="125" t="s">
        <v>210</v>
      </c>
      <c r="B19" s="502" t="s">
        <v>858</v>
      </c>
      <c r="C19" s="414">
        <v>-58</v>
      </c>
      <c r="D19" s="414">
        <v>-91</v>
      </c>
      <c r="E19" s="633">
        <v>-88</v>
      </c>
      <c r="F19" s="633">
        <v>-262</v>
      </c>
      <c r="M19" s="526"/>
      <c r="N19" s="526"/>
      <c r="O19" s="526"/>
      <c r="P19" s="526"/>
      <c r="Q19" s="526"/>
    </row>
    <row r="20" spans="1:17" ht="25.5">
      <c r="A20" s="125" t="s">
        <v>211</v>
      </c>
      <c r="B20" s="499"/>
      <c r="C20" s="414">
        <v>-68</v>
      </c>
      <c r="D20" s="414">
        <v>-65</v>
      </c>
      <c r="E20" s="633">
        <v>3</v>
      </c>
      <c r="F20" s="633">
        <v>-8</v>
      </c>
      <c r="M20" s="526"/>
      <c r="N20" s="526"/>
      <c r="O20" s="526"/>
      <c r="P20" s="526"/>
      <c r="Q20" s="526"/>
    </row>
    <row r="21" spans="1:17">
      <c r="A21" s="125" t="s">
        <v>212</v>
      </c>
      <c r="B21" s="499">
        <v>16</v>
      </c>
      <c r="C21" s="414">
        <v>11</v>
      </c>
      <c r="D21" s="414">
        <v>17</v>
      </c>
      <c r="E21" s="633">
        <v>17</v>
      </c>
      <c r="F21" s="633">
        <v>50</v>
      </c>
      <c r="M21" s="526"/>
      <c r="N21" s="526"/>
      <c r="O21" s="526"/>
      <c r="P21" s="526"/>
      <c r="Q21" s="526"/>
    </row>
    <row r="22" spans="1:17" ht="25.5">
      <c r="A22" s="126" t="s">
        <v>856</v>
      </c>
      <c r="B22" s="499"/>
      <c r="C22" s="415">
        <v>-115</v>
      </c>
      <c r="D22" s="415">
        <v>-139</v>
      </c>
      <c r="E22" s="636">
        <v>-68</v>
      </c>
      <c r="F22" s="636">
        <v>-220</v>
      </c>
      <c r="M22" s="526"/>
      <c r="N22" s="526"/>
      <c r="O22" s="526"/>
      <c r="P22" s="526"/>
      <c r="Q22" s="526"/>
    </row>
    <row r="23" spans="1:17" ht="6" customHeight="1">
      <c r="A23" s="126"/>
      <c r="B23" s="499"/>
      <c r="C23" s="415"/>
      <c r="D23" s="415"/>
      <c r="E23" s="636"/>
      <c r="F23" s="636"/>
      <c r="M23" s="526"/>
      <c r="N23" s="526"/>
      <c r="O23" s="526"/>
      <c r="P23" s="526"/>
      <c r="Q23" s="526"/>
    </row>
    <row r="24" spans="1:17">
      <c r="A24" s="125" t="s">
        <v>818</v>
      </c>
      <c r="B24" s="499">
        <v>35</v>
      </c>
      <c r="C24" s="414">
        <v>-20</v>
      </c>
      <c r="D24" s="414">
        <v>17</v>
      </c>
      <c r="E24" s="633">
        <v>3</v>
      </c>
      <c r="F24" s="633">
        <v>-13</v>
      </c>
      <c r="M24" s="526"/>
      <c r="N24" s="526"/>
      <c r="O24" s="526"/>
      <c r="P24" s="526"/>
      <c r="Q24" s="526"/>
    </row>
    <row r="25" spans="1:17">
      <c r="A25" s="125" t="s">
        <v>212</v>
      </c>
      <c r="B25" s="499">
        <v>16</v>
      </c>
      <c r="C25" s="414">
        <v>4</v>
      </c>
      <c r="D25" s="414">
        <v>-3</v>
      </c>
      <c r="E25" s="633">
        <v>-1</v>
      </c>
      <c r="F25" s="633">
        <v>2</v>
      </c>
      <c r="M25" s="526"/>
      <c r="N25" s="526"/>
      <c r="O25" s="526"/>
      <c r="P25" s="526"/>
      <c r="Q25" s="526"/>
    </row>
    <row r="26" spans="1:17" ht="36.75" customHeight="1">
      <c r="A26" s="126" t="s">
        <v>857</v>
      </c>
      <c r="B26" s="499"/>
      <c r="C26" s="415">
        <v>-16</v>
      </c>
      <c r="D26" s="415">
        <v>14</v>
      </c>
      <c r="E26" s="636">
        <v>2</v>
      </c>
      <c r="F26" s="636">
        <v>-11</v>
      </c>
      <c r="M26" s="526"/>
      <c r="N26" s="526"/>
      <c r="O26" s="526"/>
      <c r="P26" s="526"/>
      <c r="Q26" s="526"/>
    </row>
    <row r="27" spans="1:17" ht="8.1" customHeight="1">
      <c r="A27" s="127"/>
      <c r="B27" s="499"/>
      <c r="C27" s="414"/>
      <c r="D27" s="414"/>
      <c r="E27" s="633"/>
      <c r="F27" s="633"/>
      <c r="M27" s="526"/>
      <c r="N27" s="526"/>
      <c r="O27" s="526"/>
      <c r="P27" s="526"/>
      <c r="Q27" s="526"/>
    </row>
    <row r="28" spans="1:17">
      <c r="A28" s="122" t="s">
        <v>213</v>
      </c>
      <c r="B28" s="138"/>
      <c r="C28" s="415">
        <v>-131</v>
      </c>
      <c r="D28" s="415">
        <v>-125</v>
      </c>
      <c r="E28" s="636">
        <v>-66</v>
      </c>
      <c r="F28" s="636">
        <v>-231</v>
      </c>
      <c r="M28" s="526"/>
      <c r="N28" s="526"/>
      <c r="O28" s="526"/>
      <c r="P28" s="526"/>
      <c r="Q28" s="526"/>
    </row>
    <row r="29" spans="1:17">
      <c r="A29" s="259" t="s">
        <v>214</v>
      </c>
      <c r="B29" s="261"/>
      <c r="C29" s="260">
        <v>505</v>
      </c>
      <c r="D29" s="260">
        <v>-332</v>
      </c>
      <c r="E29" s="260">
        <v>321</v>
      </c>
      <c r="F29" s="260">
        <v>2032</v>
      </c>
      <c r="M29" s="526"/>
      <c r="N29" s="526"/>
      <c r="O29" s="526"/>
      <c r="P29" s="526"/>
      <c r="Q29" s="526"/>
    </row>
    <row r="30" spans="1:17">
      <c r="A30" s="122" t="s">
        <v>798</v>
      </c>
      <c r="B30" s="128"/>
      <c r="C30" s="414"/>
      <c r="D30" s="414"/>
      <c r="E30" s="633"/>
      <c r="F30" s="633"/>
      <c r="M30" s="526"/>
      <c r="N30" s="526"/>
      <c r="O30" s="526"/>
      <c r="P30" s="526"/>
      <c r="Q30" s="526"/>
    </row>
    <row r="31" spans="1:17">
      <c r="A31" s="125" t="s">
        <v>215</v>
      </c>
      <c r="B31" s="128"/>
      <c r="C31" s="414">
        <v>635</v>
      </c>
      <c r="D31" s="414">
        <v>-210</v>
      </c>
      <c r="E31" s="633">
        <v>385</v>
      </c>
      <c r="F31" s="633">
        <v>2258</v>
      </c>
      <c r="M31" s="526"/>
      <c r="N31" s="526"/>
      <c r="O31" s="526"/>
      <c r="P31" s="526"/>
      <c r="Q31" s="526"/>
    </row>
    <row r="32" spans="1:17">
      <c r="A32" s="125" t="s">
        <v>216</v>
      </c>
      <c r="B32" s="128"/>
      <c r="C32" s="414">
        <v>1</v>
      </c>
      <c r="D32" s="414">
        <v>3</v>
      </c>
      <c r="E32" s="633">
        <v>2</v>
      </c>
      <c r="F32" s="633">
        <v>5</v>
      </c>
      <c r="M32" s="526"/>
      <c r="N32" s="526"/>
      <c r="O32" s="526"/>
      <c r="P32" s="526"/>
      <c r="Q32" s="526"/>
    </row>
    <row r="33" spans="1:17">
      <c r="A33" s="122" t="s">
        <v>217</v>
      </c>
      <c r="B33" s="136"/>
      <c r="C33" s="416"/>
      <c r="D33" s="416"/>
      <c r="E33" s="637"/>
      <c r="F33" s="637"/>
      <c r="M33" s="526"/>
      <c r="N33" s="526"/>
      <c r="O33" s="526"/>
      <c r="P33" s="526"/>
      <c r="Q33" s="526"/>
    </row>
    <row r="34" spans="1:17">
      <c r="A34" s="125" t="s">
        <v>215</v>
      </c>
      <c r="B34" s="128"/>
      <c r="C34" s="414">
        <v>504</v>
      </c>
      <c r="D34" s="414">
        <v>-335</v>
      </c>
      <c r="E34" s="633">
        <v>319</v>
      </c>
      <c r="F34" s="633">
        <v>2027</v>
      </c>
      <c r="M34" s="526"/>
      <c r="N34" s="526"/>
      <c r="O34" s="526"/>
      <c r="P34" s="526"/>
      <c r="Q34" s="526"/>
    </row>
    <row r="35" spans="1:17">
      <c r="A35" s="125" t="s">
        <v>216</v>
      </c>
      <c r="B35" s="128"/>
      <c r="C35" s="414">
        <v>1</v>
      </c>
      <c r="D35" s="414">
        <v>3</v>
      </c>
      <c r="E35" s="633">
        <v>2</v>
      </c>
      <c r="F35" s="633">
        <v>5</v>
      </c>
      <c r="M35" s="526"/>
      <c r="N35" s="526"/>
      <c r="O35" s="526"/>
      <c r="P35" s="526"/>
      <c r="Q35" s="526"/>
    </row>
    <row r="36" spans="1:17" ht="7.5" customHeight="1">
      <c r="A36" s="123"/>
      <c r="B36" s="128"/>
      <c r="C36" s="417"/>
      <c r="D36" s="417"/>
      <c r="E36" s="638"/>
      <c r="F36" s="638"/>
      <c r="M36" s="526"/>
      <c r="N36" s="526"/>
      <c r="O36" s="526"/>
      <c r="P36" s="526"/>
      <c r="Q36" s="526"/>
    </row>
    <row r="37" spans="1:17" ht="22.5" customHeight="1">
      <c r="A37" s="672" t="s">
        <v>859</v>
      </c>
      <c r="B37" s="673"/>
      <c r="C37" s="681">
        <v>0.36232930277113773</v>
      </c>
      <c r="D37" s="681">
        <v>-0.11982543871171485</v>
      </c>
      <c r="E37" s="674">
        <v>0.21967997097147718</v>
      </c>
      <c r="F37" s="674">
        <v>1.2884087648145339</v>
      </c>
      <c r="M37" s="526"/>
      <c r="N37" s="526"/>
      <c r="O37" s="526"/>
      <c r="P37" s="526"/>
      <c r="Q37" s="526"/>
    </row>
    <row r="38" spans="1:17">
      <c r="A38" s="122"/>
      <c r="B38" s="128"/>
      <c r="C38" s="128"/>
      <c r="D38" s="128"/>
      <c r="E38" s="128"/>
      <c r="F38" s="128"/>
    </row>
  </sheetData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59999389629810485"/>
    <pageSetUpPr fitToPage="1"/>
  </sheetPr>
  <dimension ref="A1:M76"/>
  <sheetViews>
    <sheetView topLeftCell="A33" workbookViewId="0">
      <selection activeCell="C72" sqref="C72:D74"/>
    </sheetView>
  </sheetViews>
  <sheetFormatPr defaultColWidth="9.28515625" defaultRowHeight="15"/>
  <cols>
    <col min="1" max="1" width="89.28515625" style="419" customWidth="1"/>
    <col min="2" max="2" width="9.28515625" style="419"/>
    <col min="3" max="4" width="19.7109375" style="419" customWidth="1"/>
    <col min="5" max="5" width="9.28515625" style="419"/>
    <col min="6" max="6" width="9.7109375" style="10" customWidth="1"/>
    <col min="7" max="8" width="9.28515625" style="10"/>
    <col min="9" max="9" width="13.42578125" style="10" customWidth="1"/>
    <col min="10" max="12" width="9.28515625" style="10"/>
    <col min="13" max="16384" width="9.28515625" style="419"/>
  </cols>
  <sheetData>
    <row r="1" spans="1:13" ht="20.25">
      <c r="A1" s="418" t="s">
        <v>29</v>
      </c>
      <c r="B1" s="436"/>
      <c r="C1" s="436"/>
      <c r="D1" s="104"/>
    </row>
    <row r="2" spans="1:13" ht="83.1" customHeight="1">
      <c r="A2" s="412" t="s">
        <v>664</v>
      </c>
      <c r="B2" s="264" t="s">
        <v>218</v>
      </c>
      <c r="C2" s="264" t="s">
        <v>909</v>
      </c>
      <c r="D2" s="264" t="s">
        <v>860</v>
      </c>
    </row>
    <row r="3" spans="1:13">
      <c r="A3" s="437" t="s">
        <v>219</v>
      </c>
      <c r="B3" s="438"/>
      <c r="C3" s="438"/>
      <c r="D3" s="439"/>
    </row>
    <row r="4" spans="1:13">
      <c r="A4" s="76" t="s">
        <v>220</v>
      </c>
      <c r="B4" s="410"/>
      <c r="C4" s="440"/>
      <c r="D4" s="406"/>
    </row>
    <row r="5" spans="1:13">
      <c r="A5" s="123" t="s">
        <v>221</v>
      </c>
      <c r="B5" s="683">
        <v>17</v>
      </c>
      <c r="C5" s="427">
        <v>32224</v>
      </c>
      <c r="D5" s="406">
        <v>31872</v>
      </c>
      <c r="M5" s="10"/>
    </row>
    <row r="6" spans="1:13">
      <c r="A6" s="123" t="s">
        <v>528</v>
      </c>
      <c r="B6" s="683">
        <v>18</v>
      </c>
      <c r="C6" s="427">
        <v>2506</v>
      </c>
      <c r="D6" s="406">
        <v>2164</v>
      </c>
      <c r="M6" s="10"/>
    </row>
    <row r="7" spans="1:13">
      <c r="A7" s="123" t="s">
        <v>222</v>
      </c>
      <c r="B7" s="683">
        <v>19</v>
      </c>
      <c r="C7" s="427">
        <v>26</v>
      </c>
      <c r="D7" s="406">
        <v>26</v>
      </c>
      <c r="M7" s="10"/>
    </row>
    <row r="8" spans="1:13" ht="28.5">
      <c r="A8" s="123" t="s">
        <v>760</v>
      </c>
      <c r="B8" s="684" t="s">
        <v>861</v>
      </c>
      <c r="C8" s="427">
        <v>31</v>
      </c>
      <c r="D8" s="406">
        <v>24</v>
      </c>
      <c r="M8" s="10"/>
    </row>
    <row r="9" spans="1:13">
      <c r="A9" s="123" t="s">
        <v>223</v>
      </c>
      <c r="B9" s="683">
        <v>21</v>
      </c>
      <c r="C9" s="427">
        <v>773</v>
      </c>
      <c r="D9" s="406">
        <v>848</v>
      </c>
      <c r="M9" s="10"/>
    </row>
    <row r="10" spans="1:13">
      <c r="A10" s="137" t="s">
        <v>224</v>
      </c>
      <c r="B10" s="683">
        <v>22</v>
      </c>
      <c r="C10" s="427">
        <v>192</v>
      </c>
      <c r="D10" s="406">
        <v>169</v>
      </c>
      <c r="M10" s="10"/>
    </row>
    <row r="11" spans="1:13">
      <c r="A11" s="137" t="s">
        <v>225</v>
      </c>
      <c r="B11" s="683">
        <v>23</v>
      </c>
      <c r="C11" s="427">
        <v>459</v>
      </c>
      <c r="D11" s="406">
        <v>357</v>
      </c>
      <c r="M11" s="10"/>
    </row>
    <row r="12" spans="1:13">
      <c r="A12" s="137" t="s">
        <v>389</v>
      </c>
      <c r="B12" s="683">
        <v>24</v>
      </c>
      <c r="C12" s="427">
        <v>170</v>
      </c>
      <c r="D12" s="406">
        <v>149</v>
      </c>
      <c r="M12" s="10"/>
    </row>
    <row r="13" spans="1:13">
      <c r="A13" s="123" t="s">
        <v>226</v>
      </c>
      <c r="B13" s="683">
        <v>25</v>
      </c>
      <c r="C13" s="427">
        <v>271</v>
      </c>
      <c r="D13" s="406">
        <v>278</v>
      </c>
      <c r="M13" s="10"/>
    </row>
    <row r="14" spans="1:13">
      <c r="A14" s="123" t="s">
        <v>227</v>
      </c>
      <c r="B14" s="684" t="s">
        <v>832</v>
      </c>
      <c r="C14" s="427">
        <v>465</v>
      </c>
      <c r="D14" s="406">
        <v>707</v>
      </c>
      <c r="M14" s="10"/>
    </row>
    <row r="15" spans="1:13">
      <c r="A15" s="123" t="s">
        <v>228</v>
      </c>
      <c r="B15" s="684" t="s">
        <v>862</v>
      </c>
      <c r="C15" s="427">
        <v>341</v>
      </c>
      <c r="D15" s="406">
        <v>759</v>
      </c>
      <c r="M15" s="10"/>
    </row>
    <row r="16" spans="1:13">
      <c r="A16" s="441"/>
      <c r="B16" s="442"/>
      <c r="C16" s="443">
        <v>37458</v>
      </c>
      <c r="D16" s="444">
        <v>37353</v>
      </c>
      <c r="M16" s="10"/>
    </row>
    <row r="17" spans="1:13">
      <c r="A17" s="76" t="s">
        <v>229</v>
      </c>
      <c r="B17" s="410"/>
      <c r="C17" s="427"/>
      <c r="D17" s="406"/>
      <c r="M17" s="10"/>
    </row>
    <row r="18" spans="1:13" ht="28.5">
      <c r="A18" s="123" t="s">
        <v>759</v>
      </c>
      <c r="B18" s="410" t="s">
        <v>863</v>
      </c>
      <c r="C18" s="427">
        <v>219</v>
      </c>
      <c r="D18" s="406">
        <v>702</v>
      </c>
      <c r="M18" s="10"/>
    </row>
    <row r="19" spans="1:13">
      <c r="A19" s="123" t="s">
        <v>230</v>
      </c>
      <c r="B19" s="410">
        <v>28</v>
      </c>
      <c r="C19" s="427">
        <v>1084</v>
      </c>
      <c r="D19" s="406">
        <v>1483</v>
      </c>
      <c r="M19" s="10"/>
    </row>
    <row r="20" spans="1:13">
      <c r="A20" s="123" t="s">
        <v>231</v>
      </c>
      <c r="B20" s="410">
        <v>29</v>
      </c>
      <c r="C20" s="427">
        <v>3871</v>
      </c>
      <c r="D20" s="406">
        <v>5341</v>
      </c>
      <c r="M20" s="10"/>
    </row>
    <row r="21" spans="1:13">
      <c r="A21" s="123" t="s">
        <v>513</v>
      </c>
      <c r="B21" s="410">
        <v>42</v>
      </c>
      <c r="C21" s="427">
        <v>192</v>
      </c>
      <c r="D21" s="406">
        <v>105</v>
      </c>
      <c r="M21" s="10"/>
    </row>
    <row r="22" spans="1:13">
      <c r="A22" s="123" t="s">
        <v>514</v>
      </c>
      <c r="B22" s="410">
        <v>30</v>
      </c>
      <c r="C22" s="427">
        <v>878</v>
      </c>
      <c r="D22" s="406">
        <v>794</v>
      </c>
      <c r="M22" s="10"/>
    </row>
    <row r="23" spans="1:13">
      <c r="A23" s="137" t="s">
        <v>389</v>
      </c>
      <c r="B23" s="410">
        <v>29</v>
      </c>
      <c r="C23" s="427">
        <v>370</v>
      </c>
      <c r="D23" s="406">
        <v>275</v>
      </c>
      <c r="M23" s="10"/>
    </row>
    <row r="24" spans="1:13">
      <c r="A24" s="393" t="s">
        <v>563</v>
      </c>
      <c r="B24" s="407">
        <v>25</v>
      </c>
      <c r="C24" s="427">
        <v>890</v>
      </c>
      <c r="D24" s="406">
        <v>2449</v>
      </c>
      <c r="M24" s="10"/>
    </row>
    <row r="25" spans="1:13">
      <c r="A25" s="123" t="s">
        <v>227</v>
      </c>
      <c r="B25" s="407" t="s">
        <v>834</v>
      </c>
      <c r="C25" s="427">
        <v>266</v>
      </c>
      <c r="D25" s="406">
        <v>207</v>
      </c>
      <c r="M25" s="10"/>
    </row>
    <row r="26" spans="1:13">
      <c r="A26" s="123" t="s">
        <v>233</v>
      </c>
      <c r="B26" s="407">
        <v>31</v>
      </c>
      <c r="C26" s="427">
        <v>565</v>
      </c>
      <c r="D26" s="406">
        <v>1084</v>
      </c>
      <c r="M26" s="10"/>
    </row>
    <row r="27" spans="1:13">
      <c r="A27" s="123" t="s">
        <v>609</v>
      </c>
      <c r="B27" s="407"/>
      <c r="C27" s="427">
        <v>4</v>
      </c>
      <c r="D27" s="406">
        <v>5</v>
      </c>
      <c r="M27" s="10"/>
    </row>
    <row r="28" spans="1:13">
      <c r="A28" s="441"/>
      <c r="B28" s="442"/>
      <c r="C28" s="443">
        <v>8339</v>
      </c>
      <c r="D28" s="444">
        <v>12445</v>
      </c>
      <c r="M28" s="10"/>
    </row>
    <row r="29" spans="1:13">
      <c r="A29" s="268"/>
      <c r="B29" s="410"/>
      <c r="C29" s="427"/>
      <c r="D29" s="406"/>
      <c r="M29" s="10"/>
    </row>
    <row r="30" spans="1:13">
      <c r="A30" s="445" t="s">
        <v>234</v>
      </c>
      <c r="B30" s="446"/>
      <c r="C30" s="447">
        <v>45797</v>
      </c>
      <c r="D30" s="447">
        <v>49798</v>
      </c>
      <c r="M30" s="10"/>
    </row>
    <row r="31" spans="1:13" ht="40.5" customHeight="1">
      <c r="A31" s="268"/>
      <c r="B31" s="410"/>
      <c r="C31" s="82"/>
      <c r="D31" s="406"/>
      <c r="M31" s="10"/>
    </row>
    <row r="32" spans="1:13">
      <c r="A32" s="437" t="s">
        <v>235</v>
      </c>
      <c r="B32" s="442"/>
      <c r="C32" s="438"/>
      <c r="D32" s="444"/>
      <c r="M32" s="10"/>
    </row>
    <row r="33" spans="1:13" ht="25.5">
      <c r="A33" s="76" t="s">
        <v>236</v>
      </c>
      <c r="B33" s="410"/>
      <c r="C33" s="440"/>
      <c r="D33" s="406"/>
      <c r="M33" s="10"/>
    </row>
    <row r="34" spans="1:13">
      <c r="A34" s="123" t="s">
        <v>237</v>
      </c>
      <c r="B34" s="410" t="s">
        <v>833</v>
      </c>
      <c r="C34" s="427">
        <v>8763</v>
      </c>
      <c r="D34" s="406">
        <v>8763</v>
      </c>
      <c r="M34" s="10"/>
    </row>
    <row r="35" spans="1:13">
      <c r="A35" s="123" t="s">
        <v>238</v>
      </c>
      <c r="B35" s="410" t="s">
        <v>864</v>
      </c>
      <c r="C35" s="427">
        <v>2438</v>
      </c>
      <c r="D35" s="406">
        <v>3076</v>
      </c>
      <c r="M35" s="10"/>
    </row>
    <row r="36" spans="1:13" ht="25.5">
      <c r="A36" s="123" t="s">
        <v>239</v>
      </c>
      <c r="B36" s="410" t="s">
        <v>858</v>
      </c>
      <c r="C36" s="425">
        <v>144</v>
      </c>
      <c r="D36" s="426">
        <v>218</v>
      </c>
      <c r="M36" s="10"/>
    </row>
    <row r="37" spans="1:13" ht="25.5">
      <c r="A37" s="123" t="s">
        <v>211</v>
      </c>
      <c r="B37" s="410"/>
      <c r="C37" s="425">
        <v>-3</v>
      </c>
      <c r="D37" s="426">
        <v>62</v>
      </c>
      <c r="M37" s="10"/>
    </row>
    <row r="38" spans="1:13">
      <c r="A38" s="448" t="s">
        <v>240</v>
      </c>
      <c r="B38" s="449" t="s">
        <v>865</v>
      </c>
      <c r="C38" s="450">
        <v>6238</v>
      </c>
      <c r="D38" s="451">
        <v>5796</v>
      </c>
      <c r="M38" s="10"/>
    </row>
    <row r="39" spans="1:13">
      <c r="A39" s="268"/>
      <c r="B39" s="410"/>
      <c r="C39" s="429">
        <v>17580</v>
      </c>
      <c r="D39" s="424">
        <v>17915</v>
      </c>
      <c r="M39" s="10"/>
    </row>
    <row r="40" spans="1:13" ht="2.25" customHeight="1">
      <c r="A40" s="268"/>
      <c r="B40" s="410"/>
      <c r="C40" s="432"/>
      <c r="D40" s="433"/>
      <c r="M40" s="10"/>
    </row>
    <row r="41" spans="1:13">
      <c r="A41" s="76" t="s">
        <v>241</v>
      </c>
      <c r="B41" s="590" t="s">
        <v>866</v>
      </c>
      <c r="C41" s="432">
        <v>39</v>
      </c>
      <c r="D41" s="433">
        <v>38</v>
      </c>
      <c r="M41" s="10"/>
    </row>
    <row r="42" spans="1:13" ht="0.75" customHeight="1">
      <c r="A42" s="268"/>
      <c r="B42" s="410"/>
      <c r="C42" s="432"/>
      <c r="D42" s="433"/>
      <c r="M42" s="10"/>
    </row>
    <row r="43" spans="1:13">
      <c r="A43" s="437" t="s">
        <v>242</v>
      </c>
      <c r="B43" s="442"/>
      <c r="C43" s="443">
        <v>17619</v>
      </c>
      <c r="D43" s="444">
        <v>17953</v>
      </c>
      <c r="M43" s="10"/>
    </row>
    <row r="44" spans="1:13" ht="18.75" customHeight="1">
      <c r="A44" s="441"/>
      <c r="B44" s="442"/>
      <c r="C44" s="452"/>
      <c r="D44" s="453"/>
      <c r="M44" s="10"/>
    </row>
    <row r="45" spans="1:13">
      <c r="A45" s="76" t="s">
        <v>243</v>
      </c>
      <c r="B45" s="410"/>
      <c r="C45" s="440"/>
      <c r="D45" s="406"/>
      <c r="M45" s="10"/>
    </row>
    <row r="46" spans="1:13">
      <c r="A46" s="123" t="s">
        <v>244</v>
      </c>
      <c r="B46" s="411">
        <v>34</v>
      </c>
      <c r="C46" s="427">
        <v>14043</v>
      </c>
      <c r="D46" s="406">
        <v>15317</v>
      </c>
      <c r="M46" s="10"/>
    </row>
    <row r="47" spans="1:13">
      <c r="A47" s="123" t="s">
        <v>245</v>
      </c>
      <c r="B47" s="411">
        <v>35</v>
      </c>
      <c r="C47" s="427">
        <v>663</v>
      </c>
      <c r="D47" s="406">
        <v>650</v>
      </c>
      <c r="M47" s="10"/>
    </row>
    <row r="48" spans="1:13" ht="25.5">
      <c r="A48" s="123" t="s">
        <v>799</v>
      </c>
      <c r="B48" s="411">
        <v>36</v>
      </c>
      <c r="C48" s="427">
        <v>240</v>
      </c>
      <c r="D48" s="406">
        <v>209</v>
      </c>
      <c r="M48" s="10"/>
    </row>
    <row r="49" spans="1:13">
      <c r="A49" s="123" t="s">
        <v>246</v>
      </c>
      <c r="B49" s="411">
        <v>39</v>
      </c>
      <c r="C49" s="427">
        <v>602</v>
      </c>
      <c r="D49" s="406">
        <v>607</v>
      </c>
      <c r="M49" s="10"/>
    </row>
    <row r="50" spans="1:13">
      <c r="A50" s="123" t="s">
        <v>247</v>
      </c>
      <c r="B50" s="411" t="s">
        <v>862</v>
      </c>
      <c r="C50" s="427">
        <v>1691</v>
      </c>
      <c r="D50" s="406">
        <v>1212</v>
      </c>
      <c r="M50" s="10"/>
    </row>
    <row r="51" spans="1:13">
      <c r="A51" s="137" t="s">
        <v>389</v>
      </c>
      <c r="B51" s="411" t="s">
        <v>867</v>
      </c>
      <c r="C51" s="427">
        <v>128</v>
      </c>
      <c r="D51" s="406">
        <v>169</v>
      </c>
      <c r="M51" s="10"/>
    </row>
    <row r="52" spans="1:13">
      <c r="A52" s="137" t="s">
        <v>835</v>
      </c>
      <c r="B52" s="411" t="s">
        <v>868</v>
      </c>
      <c r="C52" s="427">
        <v>141</v>
      </c>
      <c r="D52" s="406">
        <v>152</v>
      </c>
      <c r="M52" s="10"/>
    </row>
    <row r="53" spans="1:13">
      <c r="A53" s="123" t="s">
        <v>249</v>
      </c>
      <c r="B53" s="411">
        <v>44</v>
      </c>
      <c r="C53" s="427">
        <v>40</v>
      </c>
      <c r="D53" s="406">
        <v>32</v>
      </c>
      <c r="M53" s="10"/>
    </row>
    <row r="54" spans="1:13">
      <c r="A54" s="409" t="s">
        <v>253</v>
      </c>
      <c r="B54" s="449"/>
      <c r="C54" s="641">
        <v>1</v>
      </c>
      <c r="D54" s="451">
        <v>1</v>
      </c>
      <c r="M54" s="10"/>
    </row>
    <row r="55" spans="1:13">
      <c r="A55" s="268"/>
      <c r="B55" s="411"/>
      <c r="C55" s="432">
        <v>17549</v>
      </c>
      <c r="D55" s="433">
        <v>18349</v>
      </c>
      <c r="M55" s="10"/>
    </row>
    <row r="56" spans="1:13">
      <c r="A56" s="76" t="s">
        <v>250</v>
      </c>
      <c r="B56" s="411"/>
      <c r="C56" s="413"/>
      <c r="D56" s="406"/>
      <c r="M56" s="10"/>
    </row>
    <row r="57" spans="1:13">
      <c r="A57" s="123" t="s">
        <v>244</v>
      </c>
      <c r="B57" s="411">
        <v>34</v>
      </c>
      <c r="C57" s="427">
        <v>2694</v>
      </c>
      <c r="D57" s="406">
        <v>2098</v>
      </c>
      <c r="M57" s="10"/>
    </row>
    <row r="58" spans="1:13">
      <c r="A58" s="149" t="s">
        <v>248</v>
      </c>
      <c r="B58" s="411">
        <v>40</v>
      </c>
      <c r="C58" s="427">
        <v>1481</v>
      </c>
      <c r="D58" s="406">
        <v>2088</v>
      </c>
      <c r="M58" s="10"/>
    </row>
    <row r="59" spans="1:13">
      <c r="A59" s="149" t="s">
        <v>251</v>
      </c>
      <c r="B59" s="411">
        <v>41</v>
      </c>
      <c r="C59" s="427">
        <v>450</v>
      </c>
      <c r="D59" s="406">
        <v>555</v>
      </c>
      <c r="M59" s="10"/>
    </row>
    <row r="60" spans="1:13">
      <c r="A60" s="123" t="s">
        <v>245</v>
      </c>
      <c r="B60" s="411">
        <v>35</v>
      </c>
      <c r="C60" s="427">
        <v>75</v>
      </c>
      <c r="D60" s="406">
        <v>104</v>
      </c>
      <c r="M60" s="10"/>
    </row>
    <row r="61" spans="1:13" ht="25.5">
      <c r="A61" s="123" t="s">
        <v>694</v>
      </c>
      <c r="B61" s="411">
        <v>37</v>
      </c>
      <c r="C61" s="427">
        <v>2337</v>
      </c>
      <c r="D61" s="406">
        <v>3744</v>
      </c>
      <c r="M61" s="10"/>
    </row>
    <row r="62" spans="1:13">
      <c r="A62" s="123" t="s">
        <v>252</v>
      </c>
      <c r="B62" s="411">
        <v>38</v>
      </c>
      <c r="C62" s="427">
        <v>263</v>
      </c>
      <c r="D62" s="406">
        <v>843</v>
      </c>
      <c r="M62" s="10"/>
    </row>
    <row r="63" spans="1:13">
      <c r="A63" s="123" t="s">
        <v>246</v>
      </c>
      <c r="B63" s="411">
        <v>39</v>
      </c>
      <c r="C63" s="427">
        <v>606</v>
      </c>
      <c r="D63" s="406">
        <v>351</v>
      </c>
      <c r="M63" s="10"/>
    </row>
    <row r="64" spans="1:13">
      <c r="A64" s="123" t="s">
        <v>515</v>
      </c>
      <c r="B64" s="411">
        <v>42</v>
      </c>
      <c r="C64" s="427">
        <v>11</v>
      </c>
      <c r="D64" s="406">
        <v>19</v>
      </c>
      <c r="M64" s="10"/>
    </row>
    <row r="65" spans="1:13">
      <c r="A65" s="123" t="s">
        <v>516</v>
      </c>
      <c r="B65" s="411">
        <v>43</v>
      </c>
      <c r="C65" s="427">
        <v>581</v>
      </c>
      <c r="D65" s="406">
        <v>1030</v>
      </c>
      <c r="M65" s="10"/>
    </row>
    <row r="66" spans="1:13">
      <c r="A66" s="137" t="s">
        <v>389</v>
      </c>
      <c r="B66" s="411">
        <v>24</v>
      </c>
      <c r="C66" s="427">
        <v>555</v>
      </c>
      <c r="D66" s="406">
        <v>644</v>
      </c>
      <c r="M66" s="10"/>
    </row>
    <row r="67" spans="1:13">
      <c r="A67" s="123" t="s">
        <v>249</v>
      </c>
      <c r="B67" s="411">
        <v>44</v>
      </c>
      <c r="C67" s="427">
        <v>360</v>
      </c>
      <c r="D67" s="406">
        <v>640</v>
      </c>
      <c r="M67" s="10"/>
    </row>
    <row r="68" spans="1:13">
      <c r="A68" s="123" t="s">
        <v>253</v>
      </c>
      <c r="B68" s="411">
        <v>45</v>
      </c>
      <c r="C68" s="427">
        <v>1216</v>
      </c>
      <c r="D68" s="406">
        <v>1379</v>
      </c>
      <c r="M68" s="10"/>
    </row>
    <row r="69" spans="1:13" ht="25.5">
      <c r="A69" s="409" t="s">
        <v>732</v>
      </c>
      <c r="B69" s="449"/>
      <c r="C69" s="450">
        <v>0</v>
      </c>
      <c r="D69" s="602">
        <v>1</v>
      </c>
      <c r="M69" s="10"/>
    </row>
    <row r="70" spans="1:13">
      <c r="A70" s="268"/>
      <c r="B70" s="82"/>
      <c r="C70" s="432">
        <v>10629</v>
      </c>
      <c r="D70" s="433">
        <v>13496</v>
      </c>
      <c r="M70" s="10"/>
    </row>
    <row r="71" spans="1:13">
      <c r="A71" s="268"/>
      <c r="B71" s="82"/>
      <c r="C71" s="432"/>
      <c r="D71" s="433"/>
      <c r="M71" s="10"/>
    </row>
    <row r="72" spans="1:13">
      <c r="A72" s="454" t="s">
        <v>254</v>
      </c>
      <c r="B72" s="455"/>
      <c r="C72" s="456">
        <v>28178</v>
      </c>
      <c r="D72" s="456">
        <v>31845</v>
      </c>
      <c r="M72" s="10"/>
    </row>
    <row r="73" spans="1:13">
      <c r="A73" s="268"/>
      <c r="B73" s="82"/>
      <c r="C73" s="433"/>
      <c r="D73" s="433"/>
      <c r="M73" s="10"/>
    </row>
    <row r="74" spans="1:13">
      <c r="A74" s="445" t="s">
        <v>255</v>
      </c>
      <c r="B74" s="446"/>
      <c r="C74" s="447">
        <v>45797</v>
      </c>
      <c r="D74" s="447">
        <v>49798</v>
      </c>
      <c r="M74" s="10"/>
    </row>
    <row r="75" spans="1:13">
      <c r="M75" s="10"/>
    </row>
    <row r="76" spans="1:13">
      <c r="D76" s="405"/>
      <c r="M76" s="10"/>
    </row>
  </sheetData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  <pageSetUpPr fitToPage="1"/>
  </sheetPr>
  <dimension ref="A1:L43"/>
  <sheetViews>
    <sheetView workbookViewId="0">
      <selection activeCell="A11" sqref="A11"/>
    </sheetView>
  </sheetViews>
  <sheetFormatPr defaultColWidth="9.28515625" defaultRowHeight="15"/>
  <cols>
    <col min="1" max="1" width="102.7109375" style="419" customWidth="1"/>
    <col min="2" max="2" width="14.7109375" style="419" customWidth="1"/>
    <col min="3" max="3" width="23.5703125" style="419" customWidth="1"/>
    <col min="4" max="4" width="25.28515625" style="419" customWidth="1"/>
    <col min="5" max="5" width="9.28515625" style="419"/>
    <col min="6" max="6" width="13" style="10" customWidth="1"/>
    <col min="7" max="10" width="9.28515625" style="10"/>
    <col min="11" max="16384" width="9.28515625" style="419"/>
  </cols>
  <sheetData>
    <row r="1" spans="1:12" ht="20.25">
      <c r="A1" s="418" t="s">
        <v>256</v>
      </c>
      <c r="B1" s="104"/>
      <c r="C1" s="104"/>
      <c r="D1" s="104"/>
    </row>
    <row r="2" spans="1:12" ht="102">
      <c r="A2" s="79" t="s">
        <v>664</v>
      </c>
      <c r="B2" s="73" t="s">
        <v>204</v>
      </c>
      <c r="C2" s="68" t="s">
        <v>910</v>
      </c>
      <c r="D2" s="68" t="s">
        <v>911</v>
      </c>
    </row>
    <row r="3" spans="1:12">
      <c r="A3" s="420" t="s">
        <v>257</v>
      </c>
      <c r="B3" s="422"/>
      <c r="C3" s="421"/>
      <c r="D3" s="422"/>
    </row>
    <row r="4" spans="1:12">
      <c r="A4" s="126" t="s">
        <v>912</v>
      </c>
      <c r="B4" s="459"/>
      <c r="C4" s="423">
        <v>731</v>
      </c>
      <c r="D4" s="424">
        <v>3015</v>
      </c>
      <c r="K4" s="592"/>
      <c r="L4" s="592"/>
    </row>
    <row r="5" spans="1:12">
      <c r="A5" s="123" t="s">
        <v>258</v>
      </c>
      <c r="B5" s="459"/>
      <c r="C5" s="425">
        <v>-85</v>
      </c>
      <c r="D5" s="426">
        <v>-95</v>
      </c>
      <c r="K5" s="592"/>
      <c r="L5" s="592"/>
    </row>
    <row r="6" spans="1:12">
      <c r="A6" s="123" t="s">
        <v>259</v>
      </c>
      <c r="B6" s="459"/>
      <c r="C6" s="425">
        <v>1782</v>
      </c>
      <c r="D6" s="426">
        <v>1642</v>
      </c>
      <c r="K6" s="592"/>
      <c r="L6" s="592"/>
    </row>
    <row r="7" spans="1:12" ht="25.5">
      <c r="A7" s="123" t="s">
        <v>819</v>
      </c>
      <c r="B7" s="459"/>
      <c r="C7" s="427">
        <v>1640</v>
      </c>
      <c r="D7" s="633">
        <v>0</v>
      </c>
      <c r="K7" s="592"/>
      <c r="L7" s="592"/>
    </row>
    <row r="8" spans="1:12">
      <c r="A8" s="123" t="s">
        <v>665</v>
      </c>
      <c r="B8" s="595"/>
      <c r="C8" s="425">
        <v>-102</v>
      </c>
      <c r="D8" s="426">
        <v>-16</v>
      </c>
      <c r="K8" s="592"/>
      <c r="L8" s="592"/>
    </row>
    <row r="9" spans="1:12">
      <c r="A9" s="124" t="s">
        <v>260</v>
      </c>
      <c r="B9" s="595"/>
      <c r="C9" s="425">
        <v>-61</v>
      </c>
      <c r="D9" s="426">
        <v>-77</v>
      </c>
      <c r="K9" s="592"/>
      <c r="L9" s="592"/>
    </row>
    <row r="10" spans="1:12">
      <c r="A10" s="124" t="s">
        <v>261</v>
      </c>
      <c r="B10" s="595"/>
      <c r="C10" s="427">
        <v>503</v>
      </c>
      <c r="D10" s="406">
        <v>623</v>
      </c>
      <c r="K10" s="592"/>
      <c r="L10" s="592"/>
    </row>
    <row r="11" spans="1:12">
      <c r="A11" s="124" t="s">
        <v>836</v>
      </c>
      <c r="B11" s="595"/>
      <c r="C11" s="425">
        <v>-320</v>
      </c>
      <c r="D11" s="406">
        <v>210</v>
      </c>
      <c r="K11" s="592"/>
      <c r="L11" s="592"/>
    </row>
    <row r="12" spans="1:12">
      <c r="A12" s="124" t="s">
        <v>262</v>
      </c>
      <c r="B12" s="595"/>
      <c r="C12" s="425">
        <v>11</v>
      </c>
      <c r="D12" s="426">
        <v>27</v>
      </c>
      <c r="K12" s="592"/>
      <c r="L12" s="592"/>
    </row>
    <row r="13" spans="1:12">
      <c r="A13" s="124" t="s">
        <v>263</v>
      </c>
      <c r="B13" s="675" t="s">
        <v>869</v>
      </c>
      <c r="C13" s="425">
        <v>406</v>
      </c>
      <c r="D13" s="426">
        <v>-9</v>
      </c>
      <c r="K13" s="592"/>
      <c r="L13" s="592"/>
    </row>
    <row r="14" spans="1:12">
      <c r="A14" s="124" t="s">
        <v>264</v>
      </c>
      <c r="B14" s="675" t="s">
        <v>869</v>
      </c>
      <c r="C14" s="425">
        <v>-121</v>
      </c>
      <c r="D14" s="426">
        <v>-80</v>
      </c>
      <c r="K14" s="592"/>
      <c r="L14" s="592"/>
    </row>
    <row r="15" spans="1:12" ht="39" customHeight="1">
      <c r="A15" s="258" t="s">
        <v>265</v>
      </c>
      <c r="B15" s="446"/>
      <c r="C15" s="428">
        <v>4384</v>
      </c>
      <c r="D15" s="428">
        <v>5240</v>
      </c>
      <c r="K15" s="592"/>
      <c r="L15" s="592"/>
    </row>
    <row r="16" spans="1:12">
      <c r="A16" s="76" t="s">
        <v>266</v>
      </c>
      <c r="B16" s="459"/>
      <c r="C16" s="458"/>
      <c r="D16" s="426"/>
      <c r="K16" s="592"/>
      <c r="L16" s="592"/>
    </row>
    <row r="17" spans="1:12" ht="25.5">
      <c r="A17" s="408" t="s">
        <v>267</v>
      </c>
      <c r="B17" s="459" t="s">
        <v>870</v>
      </c>
      <c r="C17" s="425">
        <v>-3490</v>
      </c>
      <c r="D17" s="426">
        <v>-3310</v>
      </c>
      <c r="K17" s="592"/>
      <c r="L17" s="592"/>
    </row>
    <row r="18" spans="1:12">
      <c r="A18" s="408" t="s">
        <v>883</v>
      </c>
      <c r="B18" s="459"/>
      <c r="C18" s="425">
        <v>-5</v>
      </c>
      <c r="D18" s="426">
        <v>-15</v>
      </c>
      <c r="K18" s="592"/>
      <c r="L18" s="592"/>
    </row>
    <row r="19" spans="1:12">
      <c r="A19" s="408" t="s">
        <v>761</v>
      </c>
      <c r="B19" s="459"/>
      <c r="C19" s="414">
        <v>0</v>
      </c>
      <c r="D19" s="426">
        <v>-1</v>
      </c>
      <c r="K19" s="592"/>
      <c r="L19" s="592"/>
    </row>
    <row r="20" spans="1:12">
      <c r="A20" s="250" t="s">
        <v>268</v>
      </c>
      <c r="B20" s="271"/>
      <c r="C20" s="429">
        <v>-3495</v>
      </c>
      <c r="D20" s="424">
        <v>-3326</v>
      </c>
      <c r="K20" s="592"/>
      <c r="L20" s="592"/>
    </row>
    <row r="21" spans="1:12" ht="25.5">
      <c r="A21" s="408" t="s">
        <v>394</v>
      </c>
      <c r="B21" s="271"/>
      <c r="C21" s="425">
        <v>21</v>
      </c>
      <c r="D21" s="426">
        <v>19</v>
      </c>
      <c r="K21" s="592"/>
      <c r="L21" s="592"/>
    </row>
    <row r="22" spans="1:12">
      <c r="A22" s="408" t="s">
        <v>913</v>
      </c>
      <c r="B22" s="271"/>
      <c r="C22" s="425">
        <v>2</v>
      </c>
      <c r="D22" s="426">
        <v>1</v>
      </c>
      <c r="K22" s="592"/>
      <c r="L22" s="592"/>
    </row>
    <row r="23" spans="1:12">
      <c r="A23" s="408" t="s">
        <v>269</v>
      </c>
      <c r="B23" s="271"/>
      <c r="C23" s="425">
        <v>1</v>
      </c>
      <c r="D23" s="426">
        <v>1</v>
      </c>
      <c r="K23" s="592"/>
      <c r="L23" s="592"/>
    </row>
    <row r="24" spans="1:12">
      <c r="A24" s="250" t="s">
        <v>270</v>
      </c>
      <c r="B24" s="271"/>
      <c r="C24" s="429">
        <v>24</v>
      </c>
      <c r="D24" s="424">
        <v>21</v>
      </c>
      <c r="K24" s="592"/>
      <c r="L24" s="592"/>
    </row>
    <row r="25" spans="1:12" ht="37.5" customHeight="1">
      <c r="A25" s="258" t="s">
        <v>271</v>
      </c>
      <c r="B25" s="460"/>
      <c r="C25" s="428">
        <v>-3471</v>
      </c>
      <c r="D25" s="428">
        <v>-3305</v>
      </c>
      <c r="K25" s="592"/>
      <c r="L25" s="592"/>
    </row>
    <row r="26" spans="1:12">
      <c r="A26" s="76" t="s">
        <v>272</v>
      </c>
      <c r="B26" s="459"/>
      <c r="C26" s="427"/>
      <c r="D26" s="406"/>
      <c r="K26" s="592"/>
      <c r="L26" s="592"/>
    </row>
    <row r="27" spans="1:12">
      <c r="A27" s="408" t="s">
        <v>654</v>
      </c>
      <c r="B27" s="459" t="s">
        <v>871</v>
      </c>
      <c r="C27" s="425">
        <v>-5359</v>
      </c>
      <c r="D27" s="426">
        <v>-5436</v>
      </c>
      <c r="K27" s="592"/>
      <c r="L27" s="592"/>
    </row>
    <row r="28" spans="1:12">
      <c r="A28" s="408" t="s">
        <v>884</v>
      </c>
      <c r="B28" s="459"/>
      <c r="C28" s="414">
        <v>0</v>
      </c>
      <c r="D28" s="633">
        <v>0</v>
      </c>
      <c r="K28" s="592"/>
      <c r="L28" s="592"/>
    </row>
    <row r="29" spans="1:12">
      <c r="A29" s="408" t="s">
        <v>273</v>
      </c>
      <c r="B29" s="459" t="s">
        <v>871</v>
      </c>
      <c r="C29" s="425">
        <v>-367</v>
      </c>
      <c r="D29" s="426">
        <v>-452</v>
      </c>
      <c r="K29" s="592"/>
      <c r="L29" s="592"/>
    </row>
    <row r="30" spans="1:12">
      <c r="A30" s="408" t="s">
        <v>564</v>
      </c>
      <c r="B30" s="459"/>
      <c r="C30" s="425">
        <v>-110</v>
      </c>
      <c r="D30" s="426">
        <v>-92</v>
      </c>
      <c r="K30" s="592"/>
      <c r="L30" s="592"/>
    </row>
    <row r="31" spans="1:12">
      <c r="A31" s="408" t="s">
        <v>274</v>
      </c>
      <c r="B31" s="459"/>
      <c r="C31" s="425">
        <v>-17</v>
      </c>
      <c r="D31" s="426">
        <v>-4</v>
      </c>
      <c r="K31" s="592"/>
      <c r="L31" s="592"/>
    </row>
    <row r="32" spans="1:12">
      <c r="A32" s="250" t="s">
        <v>268</v>
      </c>
      <c r="B32" s="410"/>
      <c r="C32" s="429">
        <v>-5853</v>
      </c>
      <c r="D32" s="424">
        <v>-5984</v>
      </c>
      <c r="K32" s="592"/>
      <c r="L32" s="592"/>
    </row>
    <row r="33" spans="1:12">
      <c r="A33" s="408" t="s">
        <v>762</v>
      </c>
      <c r="B33" s="410" t="s">
        <v>871</v>
      </c>
      <c r="C33" s="425">
        <v>4382</v>
      </c>
      <c r="D33" s="426">
        <v>4843</v>
      </c>
      <c r="K33" s="592"/>
      <c r="L33" s="592"/>
    </row>
    <row r="34" spans="1:12">
      <c r="A34" s="408" t="s">
        <v>610</v>
      </c>
      <c r="B34" s="410"/>
      <c r="C34" s="425">
        <v>58</v>
      </c>
      <c r="D34" s="426">
        <v>20</v>
      </c>
      <c r="K34" s="592"/>
      <c r="L34" s="592"/>
    </row>
    <row r="35" spans="1:12">
      <c r="A35" s="408" t="s">
        <v>269</v>
      </c>
      <c r="B35" s="410"/>
      <c r="C35" s="425">
        <v>2</v>
      </c>
      <c r="D35" s="426">
        <v>3</v>
      </c>
      <c r="K35" s="592"/>
      <c r="L35" s="592"/>
    </row>
    <row r="36" spans="1:12">
      <c r="A36" s="251" t="s">
        <v>270</v>
      </c>
      <c r="B36" s="461"/>
      <c r="C36" s="430">
        <v>4442</v>
      </c>
      <c r="D36" s="431">
        <v>4866</v>
      </c>
      <c r="K36" s="592"/>
      <c r="L36" s="592"/>
    </row>
    <row r="37" spans="1:12" ht="29.25" customHeight="1">
      <c r="A37" s="256" t="s">
        <v>275</v>
      </c>
      <c r="B37" s="462"/>
      <c r="C37" s="428">
        <v>-1411</v>
      </c>
      <c r="D37" s="428">
        <v>-1118</v>
      </c>
      <c r="K37" s="592"/>
      <c r="L37" s="592"/>
    </row>
    <row r="38" spans="1:12" ht="37.5" customHeight="1">
      <c r="A38" s="257" t="s">
        <v>276</v>
      </c>
      <c r="B38" s="460"/>
      <c r="C38" s="428">
        <v>-498</v>
      </c>
      <c r="D38" s="428">
        <v>817</v>
      </c>
      <c r="K38" s="592"/>
      <c r="L38" s="592"/>
    </row>
    <row r="39" spans="1:12">
      <c r="A39" s="247" t="s">
        <v>277</v>
      </c>
      <c r="B39" s="459"/>
      <c r="C39" s="414">
        <v>0</v>
      </c>
      <c r="D39" s="426">
        <v>27</v>
      </c>
      <c r="K39" s="592"/>
      <c r="L39" s="592"/>
    </row>
    <row r="40" spans="1:12">
      <c r="A40" s="248" t="s">
        <v>278</v>
      </c>
      <c r="B40" s="523">
        <v>31</v>
      </c>
      <c r="C40" s="432">
        <v>1048</v>
      </c>
      <c r="D40" s="433">
        <v>940</v>
      </c>
      <c r="K40" s="592"/>
      <c r="L40" s="592"/>
    </row>
    <row r="41" spans="1:12">
      <c r="A41" s="248" t="s">
        <v>279</v>
      </c>
      <c r="B41" s="524">
        <v>31</v>
      </c>
      <c r="C41" s="432">
        <v>550</v>
      </c>
      <c r="D41" s="433">
        <v>1757</v>
      </c>
      <c r="K41" s="592"/>
      <c r="L41" s="592"/>
    </row>
    <row r="42" spans="1:12">
      <c r="A42" s="463" t="s">
        <v>280</v>
      </c>
      <c r="B42" s="525">
        <v>31</v>
      </c>
      <c r="C42" s="434">
        <v>217</v>
      </c>
      <c r="D42" s="435">
        <v>183</v>
      </c>
      <c r="K42" s="592"/>
      <c r="L42" s="592"/>
    </row>
    <row r="43" spans="1:12">
      <c r="K43" s="592"/>
    </row>
  </sheetData>
  <pageMargins left="0.70866141732283472" right="0.70866141732283472" top="0.74803149606299213" bottom="0.74803149606299213" header="0.31496062992125984" footer="0.31496062992125984"/>
  <pageSetup paperSize="9" scale="5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2060"/>
    <pageSetUpPr fitToPage="1"/>
  </sheetPr>
  <dimension ref="A1:Y177"/>
  <sheetViews>
    <sheetView workbookViewId="0">
      <pane xSplit="2" ySplit="4" topLeftCell="K5" activePane="bottomRight" state="frozen"/>
      <selection pane="topRight" activeCell="C1" sqref="C1"/>
      <selection pane="bottomLeft" activeCell="A5" sqref="A5"/>
      <selection pane="bottomRight" activeCell="Q19" sqref="Q19"/>
    </sheetView>
  </sheetViews>
  <sheetFormatPr defaultColWidth="12.42578125" defaultRowHeight="15"/>
  <cols>
    <col min="1" max="1" width="101.28515625" style="110" customWidth="1"/>
    <col min="2" max="2" width="3.28515625" style="534" customWidth="1"/>
    <col min="3" max="5" width="12.42578125" style="110"/>
    <col min="6" max="6" width="17.28515625" style="110" customWidth="1"/>
    <col min="7" max="7" width="15.7109375" style="110" customWidth="1"/>
    <col min="8" max="8" width="17.28515625" style="110" customWidth="1"/>
    <col min="9" max="9" width="14.28515625" style="110" customWidth="1"/>
    <col min="10" max="11" width="12.42578125" style="110"/>
    <col min="12" max="13" width="12.42578125" style="10"/>
    <col min="14" max="14" width="17" style="10" customWidth="1"/>
    <col min="15" max="16" width="12.42578125" style="10"/>
    <col min="17" max="20" width="12.42578125" style="110" customWidth="1"/>
    <col min="21" max="16384" width="12.42578125" style="110"/>
  </cols>
  <sheetData>
    <row r="1" spans="1:25" ht="18">
      <c r="A1" s="400" t="s">
        <v>377</v>
      </c>
    </row>
    <row r="2" spans="1:25" s="395" customFormat="1" ht="15" customHeight="1">
      <c r="A2" s="401" t="s">
        <v>378</v>
      </c>
      <c r="B2" s="535"/>
      <c r="C2" s="535" t="s">
        <v>667</v>
      </c>
      <c r="D2" s="535"/>
      <c r="E2" s="584"/>
      <c r="F2" s="111"/>
    </row>
    <row r="3" spans="1:25" ht="75" customHeight="1">
      <c r="A3" s="90" t="s">
        <v>681</v>
      </c>
      <c r="C3" s="73" t="s">
        <v>628</v>
      </c>
      <c r="D3" s="73" t="s">
        <v>642</v>
      </c>
      <c r="E3" s="73" t="s">
        <v>655</v>
      </c>
      <c r="F3" s="73" t="s">
        <v>758</v>
      </c>
      <c r="G3" s="73" t="s">
        <v>786</v>
      </c>
      <c r="H3" s="73" t="s">
        <v>804</v>
      </c>
      <c r="I3" s="73" t="s">
        <v>821</v>
      </c>
      <c r="J3" s="73" t="s">
        <v>757</v>
      </c>
      <c r="K3" s="73" t="s">
        <v>785</v>
      </c>
      <c r="L3" s="73" t="s">
        <v>890</v>
      </c>
      <c r="M3" s="682" t="s">
        <v>820</v>
      </c>
      <c r="N3" s="73" t="s">
        <v>841</v>
      </c>
      <c r="O3" s="73" t="s">
        <v>874</v>
      </c>
      <c r="P3" s="73" t="s">
        <v>889</v>
      </c>
      <c r="Q3" s="682" t="s">
        <v>915</v>
      </c>
    </row>
    <row r="4" spans="1:25">
      <c r="A4" s="80"/>
      <c r="Q4" s="10"/>
      <c r="R4" s="10"/>
      <c r="S4" s="10"/>
      <c r="T4" s="10"/>
      <c r="U4" s="10"/>
      <c r="V4" s="10"/>
      <c r="W4" s="10"/>
      <c r="X4" s="10"/>
      <c r="Y4" s="10"/>
    </row>
    <row r="5" spans="1:25">
      <c r="A5" s="80" t="s">
        <v>566</v>
      </c>
      <c r="B5" s="536"/>
      <c r="C5" s="117">
        <v>6445</v>
      </c>
      <c r="D5" s="117">
        <v>5421</v>
      </c>
      <c r="E5" s="117">
        <f>5997+1</f>
        <v>5998</v>
      </c>
      <c r="F5" s="117">
        <v>7300</v>
      </c>
      <c r="G5" s="117">
        <v>9620</v>
      </c>
      <c r="H5" s="117">
        <f>8081-4</f>
        <v>8077</v>
      </c>
      <c r="I5" s="117">
        <f>8690-123</f>
        <v>8567</v>
      </c>
      <c r="J5" s="117">
        <v>10047</v>
      </c>
      <c r="K5" s="117">
        <v>13559</v>
      </c>
      <c r="L5" s="640">
        <f>9723-659</f>
        <v>9064</v>
      </c>
      <c r="M5" s="640">
        <v>9160</v>
      </c>
      <c r="N5" s="640">
        <v>10215</v>
      </c>
      <c r="O5" s="640">
        <v>8142</v>
      </c>
      <c r="P5" s="640">
        <v>7142</v>
      </c>
      <c r="Q5" s="640">
        <v>7746</v>
      </c>
      <c r="R5" s="640"/>
      <c r="S5" s="10"/>
      <c r="T5" s="10"/>
      <c r="U5" s="10"/>
      <c r="V5" s="10"/>
      <c r="W5" s="10"/>
      <c r="X5" s="10"/>
      <c r="Y5" s="10"/>
    </row>
    <row r="6" spans="1:25">
      <c r="A6" s="252" t="s">
        <v>565</v>
      </c>
      <c r="B6" s="536"/>
      <c r="C6" s="394">
        <v>0</v>
      </c>
      <c r="D6" s="394">
        <v>0</v>
      </c>
      <c r="E6" s="117">
        <v>-7</v>
      </c>
      <c r="F6" s="117">
        <v>-2</v>
      </c>
      <c r="G6" s="394">
        <v>0</v>
      </c>
      <c r="H6" s="117">
        <v>4</v>
      </c>
      <c r="I6" s="117">
        <v>2</v>
      </c>
      <c r="J6" s="117">
        <v>478</v>
      </c>
      <c r="K6" s="117">
        <v>2304</v>
      </c>
      <c r="L6" s="640">
        <v>1975</v>
      </c>
      <c r="M6" s="640">
        <v>1903</v>
      </c>
      <c r="N6" s="640">
        <v>1876</v>
      </c>
      <c r="O6" s="640">
        <v>1178</v>
      </c>
      <c r="P6" s="640">
        <v>938</v>
      </c>
      <c r="Q6" s="640">
        <v>380</v>
      </c>
      <c r="R6" s="640"/>
      <c r="S6" s="10"/>
      <c r="T6" s="10"/>
      <c r="U6" s="10"/>
      <c r="V6" s="10"/>
      <c r="W6" s="10"/>
      <c r="X6" s="10"/>
      <c r="Y6" s="10"/>
    </row>
    <row r="7" spans="1:25" ht="15.75" customHeight="1">
      <c r="A7" s="87" t="s">
        <v>379</v>
      </c>
      <c r="B7" s="536"/>
      <c r="C7" s="117">
        <v>-5002</v>
      </c>
      <c r="D7" s="117">
        <v>-5647</v>
      </c>
      <c r="E7" s="117">
        <f>-5455-1</f>
        <v>-5456</v>
      </c>
      <c r="F7" s="117">
        <v>-6823</v>
      </c>
      <c r="G7" s="117">
        <v>-8048</v>
      </c>
      <c r="H7" s="117">
        <v>-8155</v>
      </c>
      <c r="I7" s="117">
        <f>-8484+137</f>
        <v>-8347</v>
      </c>
      <c r="J7" s="117">
        <v>-10304</v>
      </c>
      <c r="K7" s="117">
        <f>-13861</f>
        <v>-13861</v>
      </c>
      <c r="L7" s="640">
        <f>-23317-K7</f>
        <v>-9456</v>
      </c>
      <c r="M7" s="640">
        <v>-10101</v>
      </c>
      <c r="N7" s="640">
        <v>-11550</v>
      </c>
      <c r="O7" s="640">
        <v>-7971</v>
      </c>
      <c r="P7" s="640">
        <v>-8388</v>
      </c>
      <c r="Q7" s="640">
        <v>-6913</v>
      </c>
      <c r="R7" s="640"/>
      <c r="S7" s="10"/>
      <c r="T7" s="10"/>
      <c r="U7" s="10"/>
      <c r="V7" s="10"/>
      <c r="W7" s="10"/>
      <c r="X7" s="10"/>
      <c r="Y7" s="10"/>
    </row>
    <row r="8" spans="1:25" s="396" customFormat="1">
      <c r="A8" s="80" t="s">
        <v>682</v>
      </c>
      <c r="B8" s="542"/>
      <c r="C8" s="513">
        <v>1443</v>
      </c>
      <c r="D8" s="117">
        <v>-226</v>
      </c>
      <c r="E8" s="513">
        <v>535</v>
      </c>
      <c r="F8" s="513">
        <v>475</v>
      </c>
      <c r="G8" s="513">
        <v>1572</v>
      </c>
      <c r="H8" s="117">
        <v>-74</v>
      </c>
      <c r="I8" s="117">
        <f>208+14</f>
        <v>222</v>
      </c>
      <c r="J8" s="117">
        <v>221</v>
      </c>
      <c r="K8" s="117">
        <f>K5+K6+K7</f>
        <v>2002</v>
      </c>
      <c r="L8" s="640">
        <f>3585-K8</f>
        <v>1583</v>
      </c>
      <c r="M8" s="640">
        <v>962</v>
      </c>
      <c r="N8" s="640">
        <v>541</v>
      </c>
      <c r="O8" s="640">
        <v>1349</v>
      </c>
      <c r="P8" s="640">
        <v>-308</v>
      </c>
      <c r="Q8" s="640">
        <v>1213</v>
      </c>
      <c r="R8" s="640"/>
      <c r="S8" s="10"/>
      <c r="T8" s="10"/>
      <c r="U8" s="10"/>
      <c r="V8" s="10"/>
      <c r="W8" s="10"/>
      <c r="X8" s="10"/>
      <c r="Y8" s="10"/>
    </row>
    <row r="9" spans="1:25">
      <c r="A9" s="87" t="s">
        <v>380</v>
      </c>
      <c r="B9" s="536"/>
      <c r="C9" s="117">
        <v>-117</v>
      </c>
      <c r="D9" s="117">
        <v>-132</v>
      </c>
      <c r="E9" s="117">
        <f>-145-1</f>
        <v>-146</v>
      </c>
      <c r="F9" s="117">
        <v>-90</v>
      </c>
      <c r="G9" s="117">
        <v>-125</v>
      </c>
      <c r="H9" s="117">
        <v>-140</v>
      </c>
      <c r="I9" s="117">
        <f>-130+22</f>
        <v>-108</v>
      </c>
      <c r="J9" s="117">
        <v>-155</v>
      </c>
      <c r="K9" s="117">
        <f>-189</f>
        <v>-189</v>
      </c>
      <c r="L9" s="640">
        <f>-359-K9</f>
        <v>-170</v>
      </c>
      <c r="M9" s="640">
        <v>-202</v>
      </c>
      <c r="N9" s="640">
        <v>-205</v>
      </c>
      <c r="O9" s="640">
        <v>-183</v>
      </c>
      <c r="P9" s="640">
        <v>-189</v>
      </c>
      <c r="Q9" s="640">
        <v>-170</v>
      </c>
      <c r="R9" s="640"/>
      <c r="S9" s="10"/>
      <c r="T9" s="10"/>
      <c r="U9" s="10"/>
      <c r="V9" s="10"/>
      <c r="W9" s="10"/>
      <c r="X9" s="10"/>
      <c r="Y9" s="10"/>
    </row>
    <row r="10" spans="1:25">
      <c r="A10" s="87" t="s">
        <v>206</v>
      </c>
      <c r="B10" s="536"/>
      <c r="C10" s="117">
        <v>-149</v>
      </c>
      <c r="D10" s="117">
        <v>-157</v>
      </c>
      <c r="E10" s="117">
        <f>-157-1</f>
        <v>-158</v>
      </c>
      <c r="F10" s="117">
        <v>-26</v>
      </c>
      <c r="G10" s="117">
        <v>-125</v>
      </c>
      <c r="H10" s="117">
        <v>-134</v>
      </c>
      <c r="I10" s="117">
        <f>-194+39</f>
        <v>-155</v>
      </c>
      <c r="J10" s="117">
        <v>-144</v>
      </c>
      <c r="K10" s="117">
        <v>-160</v>
      </c>
      <c r="L10" s="640">
        <v>-176</v>
      </c>
      <c r="M10" s="640">
        <v>-167</v>
      </c>
      <c r="N10" s="640">
        <v>-198</v>
      </c>
      <c r="O10" s="640">
        <v>-197</v>
      </c>
      <c r="P10" s="640">
        <v>-172</v>
      </c>
      <c r="Q10" s="640">
        <v>-169</v>
      </c>
      <c r="R10" s="640"/>
      <c r="S10" s="10"/>
      <c r="T10" s="10"/>
      <c r="U10" s="10"/>
      <c r="V10" s="10"/>
      <c r="W10" s="10"/>
      <c r="X10" s="10"/>
      <c r="Y10" s="10"/>
    </row>
    <row r="11" spans="1:25">
      <c r="A11" s="87" t="s">
        <v>207</v>
      </c>
      <c r="B11" s="536"/>
      <c r="C11" s="117">
        <v>16</v>
      </c>
      <c r="D11" s="117">
        <v>31</v>
      </c>
      <c r="E11" s="110">
        <f>42+2</f>
        <v>44</v>
      </c>
      <c r="F11" s="110">
        <v>-15</v>
      </c>
      <c r="G11" s="394">
        <v>0</v>
      </c>
      <c r="H11" s="117">
        <v>-2</v>
      </c>
      <c r="I11" s="117">
        <v>7</v>
      </c>
      <c r="J11" s="117">
        <v>81</v>
      </c>
      <c r="K11" s="117">
        <v>17</v>
      </c>
      <c r="L11" s="640">
        <v>215</v>
      </c>
      <c r="M11" s="640">
        <v>15</v>
      </c>
      <c r="N11" s="640">
        <v>13</v>
      </c>
      <c r="O11" s="640">
        <v>5</v>
      </c>
      <c r="P11" s="640">
        <v>39</v>
      </c>
      <c r="Q11" s="640">
        <v>2</v>
      </c>
      <c r="R11" s="640"/>
      <c r="S11" s="10"/>
      <c r="T11" s="10"/>
      <c r="U11" s="10"/>
      <c r="V11" s="10"/>
      <c r="W11" s="10"/>
      <c r="X11" s="10"/>
      <c r="Y11" s="10"/>
    </row>
    <row r="12" spans="1:25">
      <c r="A12" s="87" t="s">
        <v>392</v>
      </c>
      <c r="B12" s="536"/>
      <c r="C12" s="117">
        <v>19</v>
      </c>
      <c r="D12" s="117">
        <v>3</v>
      </c>
      <c r="E12" s="110">
        <v>19</v>
      </c>
      <c r="F12" s="110">
        <v>-9</v>
      </c>
      <c r="G12" s="117">
        <v>27</v>
      </c>
      <c r="H12" s="117">
        <v>22</v>
      </c>
      <c r="I12" s="117">
        <v>68</v>
      </c>
      <c r="J12" s="117">
        <v>11</v>
      </c>
      <c r="K12" s="117">
        <v>27</v>
      </c>
      <c r="L12" s="640">
        <v>36</v>
      </c>
      <c r="M12" s="640">
        <v>32</v>
      </c>
      <c r="N12" s="640">
        <v>-582</v>
      </c>
      <c r="O12" s="640">
        <v>14</v>
      </c>
      <c r="P12" s="640">
        <v>1</v>
      </c>
      <c r="Q12" s="640">
        <v>70</v>
      </c>
      <c r="R12" s="640"/>
      <c r="S12" s="10"/>
      <c r="T12" s="10"/>
      <c r="U12" s="10"/>
      <c r="V12" s="10"/>
      <c r="W12" s="10"/>
      <c r="X12" s="10"/>
      <c r="Y12" s="10"/>
    </row>
    <row r="13" spans="1:25" s="396" customFormat="1">
      <c r="A13" s="80" t="s">
        <v>381</v>
      </c>
      <c r="B13" s="536"/>
      <c r="C13" s="513">
        <v>1212</v>
      </c>
      <c r="D13" s="117">
        <v>-481</v>
      </c>
      <c r="E13" s="396">
        <v>294</v>
      </c>
      <c r="F13" s="396">
        <v>335</v>
      </c>
      <c r="G13" s="513">
        <v>1349</v>
      </c>
      <c r="H13" s="117">
        <v>-328</v>
      </c>
      <c r="I13" s="513">
        <f>-41+75</f>
        <v>34</v>
      </c>
      <c r="J13" s="513">
        <v>14</v>
      </c>
      <c r="K13" s="513">
        <v>1697</v>
      </c>
      <c r="L13" s="640">
        <v>1488</v>
      </c>
      <c r="M13" s="640">
        <v>640</v>
      </c>
      <c r="N13" s="640">
        <v>-431</v>
      </c>
      <c r="O13" s="640">
        <v>988</v>
      </c>
      <c r="P13" s="640">
        <v>-629</v>
      </c>
      <c r="Q13" s="640">
        <v>946</v>
      </c>
      <c r="R13" s="640"/>
      <c r="S13" s="10"/>
      <c r="T13" s="10"/>
      <c r="U13" s="10"/>
      <c r="V13" s="10"/>
      <c r="W13" s="10"/>
      <c r="X13" s="10"/>
      <c r="Y13" s="10"/>
    </row>
    <row r="14" spans="1:25">
      <c r="A14" s="87" t="s">
        <v>208</v>
      </c>
      <c r="B14" s="536"/>
      <c r="C14" s="117">
        <v>-91</v>
      </c>
      <c r="D14" s="117">
        <v>-95</v>
      </c>
      <c r="E14" s="117">
        <f>-93+1</f>
        <v>-92</v>
      </c>
      <c r="F14" s="117">
        <v>-87</v>
      </c>
      <c r="G14" s="117">
        <v>-110</v>
      </c>
      <c r="H14" s="117">
        <v>-145</v>
      </c>
      <c r="I14" s="117">
        <f>-155+1</f>
        <v>-154</v>
      </c>
      <c r="J14" s="117">
        <v>-182</v>
      </c>
      <c r="K14" s="117">
        <v>-211</v>
      </c>
      <c r="L14" s="640">
        <v>-227</v>
      </c>
      <c r="M14" s="640">
        <v>-181</v>
      </c>
      <c r="N14" s="640">
        <v>-178</v>
      </c>
      <c r="O14" s="640">
        <v>-186</v>
      </c>
      <c r="P14" s="640">
        <v>-156</v>
      </c>
      <c r="Q14" s="640">
        <v>-155</v>
      </c>
      <c r="R14" s="640"/>
      <c r="S14" s="10"/>
      <c r="T14" s="10"/>
      <c r="U14" s="10"/>
      <c r="V14" s="10"/>
      <c r="W14" s="10"/>
      <c r="X14" s="10"/>
      <c r="Y14" s="10"/>
    </row>
    <row r="15" spans="1:25">
      <c r="A15" s="87" t="s">
        <v>538</v>
      </c>
      <c r="B15" s="536"/>
      <c r="C15" s="117">
        <v>-24</v>
      </c>
      <c r="D15" s="117">
        <v>76</v>
      </c>
      <c r="E15" s="117">
        <f>-10-1</f>
        <v>-11</v>
      </c>
      <c r="F15" s="117">
        <v>89</v>
      </c>
      <c r="G15" s="117">
        <v>-32</v>
      </c>
      <c r="H15" s="117">
        <v>-9</v>
      </c>
      <c r="I15" s="117">
        <f>-18+5</f>
        <v>-13</v>
      </c>
      <c r="J15" s="117">
        <v>-314</v>
      </c>
      <c r="K15" s="117">
        <v>-94</v>
      </c>
      <c r="L15" s="640">
        <v>-127</v>
      </c>
      <c r="M15" s="640">
        <v>30</v>
      </c>
      <c r="N15" s="640">
        <v>-104</v>
      </c>
      <c r="O15" s="640">
        <v>-70</v>
      </c>
      <c r="P15" s="640">
        <v>34</v>
      </c>
      <c r="Q15" s="640">
        <v>-41</v>
      </c>
      <c r="R15" s="640"/>
      <c r="S15" s="10"/>
      <c r="T15" s="10"/>
      <c r="U15" s="10"/>
      <c r="V15" s="10"/>
      <c r="W15" s="10"/>
      <c r="X15" s="10"/>
      <c r="Y15" s="10"/>
    </row>
    <row r="16" spans="1:25">
      <c r="A16" s="80" t="s">
        <v>683</v>
      </c>
      <c r="B16" s="536"/>
      <c r="C16" s="513">
        <v>1097</v>
      </c>
      <c r="D16" s="513">
        <v>-500</v>
      </c>
      <c r="E16" s="513">
        <v>191</v>
      </c>
      <c r="F16" s="513">
        <v>337</v>
      </c>
      <c r="G16" s="513">
        <v>1207</v>
      </c>
      <c r="H16" s="117">
        <v>-482</v>
      </c>
      <c r="I16" s="117">
        <f>-214+81</f>
        <v>-133</v>
      </c>
      <c r="J16" s="117">
        <v>-482</v>
      </c>
      <c r="K16" s="117">
        <v>1392</v>
      </c>
      <c r="L16" s="640">
        <v>1134</v>
      </c>
      <c r="M16" s="640">
        <v>489</v>
      </c>
      <c r="N16" s="640">
        <v>-713</v>
      </c>
      <c r="O16" s="640">
        <v>732</v>
      </c>
      <c r="P16" s="640">
        <v>-751</v>
      </c>
      <c r="Q16" s="640">
        <v>750</v>
      </c>
      <c r="R16" s="640"/>
      <c r="S16" s="10"/>
      <c r="T16" s="10"/>
      <c r="U16" s="10"/>
      <c r="V16" s="10"/>
      <c r="W16" s="10"/>
      <c r="X16" s="10"/>
      <c r="Y16" s="10"/>
    </row>
    <row r="17" spans="1:25">
      <c r="A17" s="87" t="s">
        <v>209</v>
      </c>
      <c r="B17" s="536"/>
      <c r="C17" s="117">
        <v>-246</v>
      </c>
      <c r="D17" s="513">
        <v>31</v>
      </c>
      <c r="E17" s="117">
        <v>-76</v>
      </c>
      <c r="F17" s="117">
        <v>-2</v>
      </c>
      <c r="G17" s="117">
        <v>-371</v>
      </c>
      <c r="H17" s="117">
        <v>81</v>
      </c>
      <c r="I17" s="117">
        <v>-18</v>
      </c>
      <c r="J17" s="117">
        <v>-11</v>
      </c>
      <c r="K17" s="117">
        <v>-356</v>
      </c>
      <c r="L17" s="640">
        <v>-294</v>
      </c>
      <c r="M17" s="640">
        <v>-102</v>
      </c>
      <c r="N17" s="640">
        <v>128</v>
      </c>
      <c r="O17" s="640">
        <v>-201</v>
      </c>
      <c r="P17" s="640">
        <v>-623</v>
      </c>
      <c r="Q17" s="640">
        <v>-114</v>
      </c>
      <c r="R17" s="640"/>
      <c r="S17" s="10"/>
      <c r="T17" s="10"/>
      <c r="U17" s="10"/>
      <c r="V17" s="10"/>
      <c r="W17" s="10"/>
      <c r="X17" s="10"/>
      <c r="Y17" s="10"/>
    </row>
    <row r="18" spans="1:25">
      <c r="A18" s="87"/>
      <c r="B18" s="536"/>
      <c r="C18" s="117"/>
      <c r="D18" s="513"/>
      <c r="E18" s="117"/>
      <c r="F18" s="117"/>
      <c r="G18" s="117"/>
      <c r="H18" s="117"/>
      <c r="I18" s="117"/>
      <c r="J18" s="117"/>
      <c r="K18" s="117"/>
      <c r="L18" s="640"/>
      <c r="M18" s="640"/>
      <c r="N18" s="640"/>
      <c r="P18" s="640"/>
      <c r="Q18" s="10"/>
      <c r="R18" s="640"/>
      <c r="S18" s="10"/>
      <c r="T18" s="10"/>
      <c r="U18" s="10"/>
      <c r="V18" s="10"/>
      <c r="W18" s="10"/>
      <c r="X18" s="10"/>
      <c r="Y18" s="10"/>
    </row>
    <row r="19" spans="1:25">
      <c r="A19" s="577" t="s">
        <v>744</v>
      </c>
      <c r="B19" s="536"/>
      <c r="C19" s="117"/>
      <c r="D19" s="513"/>
      <c r="E19" s="117"/>
      <c r="F19" s="117">
        <v>832</v>
      </c>
      <c r="G19" s="631">
        <v>836</v>
      </c>
      <c r="H19" s="631">
        <v>-401</v>
      </c>
      <c r="I19" s="631">
        <v>-151</v>
      </c>
      <c r="J19" s="631">
        <v>-493</v>
      </c>
      <c r="K19" s="631">
        <v>1036</v>
      </c>
      <c r="L19" s="631">
        <v>840</v>
      </c>
      <c r="M19" s="631">
        <v>387</v>
      </c>
      <c r="N19" s="631">
        <v>-585</v>
      </c>
      <c r="O19" s="631"/>
      <c r="P19" s="631"/>
      <c r="Q19" s="631"/>
      <c r="R19" s="640"/>
      <c r="S19" s="10"/>
      <c r="T19" s="10"/>
      <c r="U19" s="10"/>
      <c r="V19" s="10"/>
      <c r="W19" s="10"/>
      <c r="X19" s="10"/>
      <c r="Y19" s="10"/>
    </row>
    <row r="20" spans="1:25">
      <c r="A20" s="80"/>
      <c r="B20" s="536"/>
      <c r="C20" s="117"/>
      <c r="D20" s="513"/>
      <c r="E20" s="117"/>
      <c r="F20" s="117"/>
      <c r="G20" s="631"/>
      <c r="H20" s="631"/>
      <c r="I20" s="631"/>
      <c r="J20" s="631"/>
      <c r="K20" s="394"/>
      <c r="L20" s="394"/>
      <c r="M20" s="394"/>
      <c r="N20" s="394"/>
      <c r="O20" s="394"/>
      <c r="P20" s="394"/>
      <c r="Q20" s="394"/>
      <c r="R20" s="640"/>
      <c r="S20" s="10"/>
      <c r="T20" s="10"/>
      <c r="U20" s="10"/>
      <c r="V20" s="10"/>
      <c r="W20" s="10"/>
      <c r="X20" s="10"/>
      <c r="Y20" s="10"/>
    </row>
    <row r="21" spans="1:25">
      <c r="A21" s="577" t="s">
        <v>745</v>
      </c>
      <c r="B21" s="536"/>
      <c r="C21" s="117"/>
      <c r="D21" s="513"/>
      <c r="E21" s="117"/>
      <c r="F21" s="117">
        <v>-447</v>
      </c>
      <c r="G21" s="631">
        <v>65</v>
      </c>
      <c r="H21" s="631">
        <v>129</v>
      </c>
      <c r="I21" s="631">
        <v>-81</v>
      </c>
      <c r="J21" s="631">
        <v>-38</v>
      </c>
      <c r="K21" s="634">
        <v>0</v>
      </c>
      <c r="L21" s="634">
        <v>0</v>
      </c>
      <c r="M21" s="634">
        <v>0</v>
      </c>
      <c r="N21" s="634">
        <v>0</v>
      </c>
      <c r="O21" s="634"/>
      <c r="P21" s="634">
        <v>0</v>
      </c>
      <c r="Q21" s="634"/>
      <c r="R21" s="640"/>
      <c r="S21" s="10"/>
      <c r="T21" s="10"/>
      <c r="U21" s="10"/>
      <c r="V21" s="10"/>
      <c r="W21" s="10"/>
      <c r="X21" s="10"/>
      <c r="Y21" s="10"/>
    </row>
    <row r="22" spans="1:25">
      <c r="A22" s="87"/>
      <c r="B22" s="536"/>
      <c r="C22" s="117"/>
      <c r="D22" s="513"/>
      <c r="E22" s="117"/>
      <c r="F22" s="117"/>
      <c r="G22" s="631"/>
      <c r="H22" s="631"/>
      <c r="I22" s="631"/>
      <c r="J22" s="631"/>
      <c r="K22" s="631"/>
      <c r="L22" s="631"/>
      <c r="M22" s="631"/>
      <c r="N22" s="631"/>
      <c r="O22" s="631"/>
      <c r="P22" s="631"/>
      <c r="Q22" s="631"/>
      <c r="R22" s="640"/>
      <c r="S22" s="10"/>
      <c r="T22" s="10"/>
      <c r="U22" s="10"/>
      <c r="V22" s="10"/>
      <c r="W22" s="10"/>
      <c r="X22" s="10"/>
      <c r="Y22" s="10"/>
    </row>
    <row r="23" spans="1:25">
      <c r="A23" s="577" t="s">
        <v>684</v>
      </c>
      <c r="B23" s="536"/>
      <c r="C23" s="94">
        <v>851</v>
      </c>
      <c r="D23" s="94">
        <v>-469</v>
      </c>
      <c r="E23" s="94">
        <v>115</v>
      </c>
      <c r="F23" s="94">
        <v>-112</v>
      </c>
      <c r="G23" s="632">
        <v>901</v>
      </c>
      <c r="H23" s="632">
        <v>-272</v>
      </c>
      <c r="I23" s="632">
        <v>-232</v>
      </c>
      <c r="J23" s="632">
        <v>-531</v>
      </c>
      <c r="K23" s="631">
        <v>1036</v>
      </c>
      <c r="L23" s="631">
        <v>840</v>
      </c>
      <c r="M23" s="631">
        <v>387</v>
      </c>
      <c r="N23" s="631">
        <v>-585</v>
      </c>
      <c r="O23" s="631">
        <v>531</v>
      </c>
      <c r="P23" s="631">
        <v>-1374</v>
      </c>
      <c r="Q23" s="631">
        <v>636</v>
      </c>
      <c r="R23" s="640"/>
      <c r="S23" s="10"/>
      <c r="T23" s="10"/>
      <c r="U23" s="10"/>
      <c r="V23" s="10"/>
      <c r="W23" s="10"/>
      <c r="X23" s="10"/>
      <c r="Y23" s="10"/>
    </row>
    <row r="24" spans="1:25">
      <c r="A24" s="80"/>
      <c r="B24" s="536"/>
      <c r="I24" s="117"/>
      <c r="J24" s="117"/>
      <c r="K24" s="117"/>
      <c r="L24" s="640"/>
      <c r="P24" s="640"/>
      <c r="Q24" s="10"/>
      <c r="R24" s="640"/>
      <c r="S24" s="10"/>
      <c r="T24" s="10"/>
      <c r="U24" s="10"/>
      <c r="V24" s="10"/>
      <c r="W24" s="10"/>
      <c r="X24" s="10"/>
      <c r="Y24" s="10"/>
    </row>
    <row r="25" spans="1:25">
      <c r="A25" s="87" t="s">
        <v>210</v>
      </c>
      <c r="B25" s="536"/>
      <c r="C25" s="117">
        <v>119</v>
      </c>
      <c r="D25" s="117">
        <v>13</v>
      </c>
      <c r="E25" s="117">
        <v>65</v>
      </c>
      <c r="F25" s="117">
        <v>258</v>
      </c>
      <c r="G25" s="110">
        <v>159</v>
      </c>
      <c r="H25" s="110">
        <v>173</v>
      </c>
      <c r="I25" s="117">
        <v>-26</v>
      </c>
      <c r="J25" s="117">
        <v>-119</v>
      </c>
      <c r="K25" s="117">
        <v>-90</v>
      </c>
      <c r="L25" s="640">
        <v>-84</v>
      </c>
      <c r="M25" s="640">
        <v>-88</v>
      </c>
      <c r="N25" s="640">
        <v>-25</v>
      </c>
      <c r="O25" s="640">
        <v>-7</v>
      </c>
      <c r="P25" s="640">
        <v>-26</v>
      </c>
      <c r="Q25" s="640">
        <v>-58</v>
      </c>
      <c r="R25" s="640"/>
      <c r="S25" s="10"/>
      <c r="T25" s="10"/>
      <c r="U25" s="10"/>
      <c r="V25" s="10"/>
      <c r="W25" s="10"/>
      <c r="X25" s="10"/>
      <c r="Y25" s="10"/>
    </row>
    <row r="26" spans="1:25">
      <c r="A26" s="87" t="s">
        <v>211</v>
      </c>
      <c r="B26" s="536"/>
      <c r="C26" s="117">
        <v>5</v>
      </c>
      <c r="D26" s="117">
        <v>-2</v>
      </c>
      <c r="E26" s="117">
        <f>7+1</f>
        <v>8</v>
      </c>
      <c r="F26" s="117">
        <v>5</v>
      </c>
      <c r="G26" s="110">
        <v>9</v>
      </c>
      <c r="H26" s="117">
        <v>-2</v>
      </c>
      <c r="I26" s="117">
        <v>16</v>
      </c>
      <c r="J26" s="117">
        <v>-6</v>
      </c>
      <c r="K26" s="117">
        <v>9</v>
      </c>
      <c r="L26" s="640">
        <v>-20</v>
      </c>
      <c r="M26" s="640">
        <v>3</v>
      </c>
      <c r="N26" s="640">
        <v>10</v>
      </c>
      <c r="O26" s="10">
        <v>6</v>
      </c>
      <c r="P26" s="640">
        <v>-3</v>
      </c>
      <c r="Q26" s="640">
        <v>-68</v>
      </c>
      <c r="R26" s="640"/>
      <c r="S26" s="10"/>
      <c r="T26" s="10"/>
      <c r="U26" s="10"/>
      <c r="V26" s="10"/>
      <c r="W26" s="10"/>
      <c r="X26" s="10"/>
      <c r="Y26" s="10"/>
    </row>
    <row r="27" spans="1:25">
      <c r="A27" s="262" t="s">
        <v>212</v>
      </c>
      <c r="B27" s="536"/>
      <c r="C27" s="117">
        <v>-23</v>
      </c>
      <c r="D27" s="117">
        <v>-2</v>
      </c>
      <c r="E27" s="117">
        <f>-12-1</f>
        <v>-13</v>
      </c>
      <c r="F27" s="117">
        <v>-50</v>
      </c>
      <c r="G27" s="117">
        <v>-30</v>
      </c>
      <c r="H27" s="117">
        <v>-33</v>
      </c>
      <c r="I27" s="117">
        <v>5</v>
      </c>
      <c r="J27" s="117">
        <v>22</v>
      </c>
      <c r="K27" s="117">
        <v>17</v>
      </c>
      <c r="L27" s="640">
        <v>16</v>
      </c>
      <c r="M27" s="640">
        <v>17</v>
      </c>
      <c r="N27" s="640">
        <v>5</v>
      </c>
      <c r="O27" s="10">
        <v>1</v>
      </c>
      <c r="P27" s="640">
        <v>5</v>
      </c>
      <c r="Q27" s="640">
        <v>11</v>
      </c>
      <c r="R27" s="640"/>
      <c r="S27" s="10"/>
      <c r="T27" s="10"/>
      <c r="U27" s="10"/>
      <c r="V27" s="10"/>
      <c r="W27" s="10"/>
      <c r="X27" s="10"/>
      <c r="Y27" s="10"/>
    </row>
    <row r="28" spans="1:25" ht="26.25">
      <c r="A28" s="578" t="s">
        <v>685</v>
      </c>
      <c r="B28" s="536"/>
      <c r="C28" s="117">
        <v>101</v>
      </c>
      <c r="D28" s="117">
        <v>9</v>
      </c>
      <c r="E28" s="117">
        <v>60</v>
      </c>
      <c r="F28" s="117">
        <v>213</v>
      </c>
      <c r="G28" s="110">
        <v>138</v>
      </c>
      <c r="H28" s="110">
        <v>138</v>
      </c>
      <c r="I28" s="117">
        <v>-5</v>
      </c>
      <c r="J28" s="117">
        <v>-103</v>
      </c>
      <c r="K28" s="117">
        <v>-64</v>
      </c>
      <c r="L28" s="640">
        <v>-88</v>
      </c>
      <c r="M28" s="640">
        <v>-68</v>
      </c>
      <c r="N28" s="640">
        <v>-10</v>
      </c>
      <c r="O28" s="585">
        <v>0</v>
      </c>
      <c r="P28" s="640">
        <v>-24</v>
      </c>
      <c r="Q28" s="640">
        <v>-115</v>
      </c>
      <c r="R28" s="640"/>
      <c r="S28" s="10"/>
      <c r="T28" s="10"/>
      <c r="U28" s="10"/>
      <c r="V28" s="10"/>
      <c r="W28" s="10"/>
      <c r="X28" s="10"/>
      <c r="Y28" s="10"/>
    </row>
    <row r="29" spans="1:25">
      <c r="A29" s="262" t="s">
        <v>686</v>
      </c>
      <c r="B29" s="536"/>
      <c r="C29" s="117">
        <v>5</v>
      </c>
      <c r="D29" s="117">
        <v>40</v>
      </c>
      <c r="E29" s="117">
        <v>-1</v>
      </c>
      <c r="F29" s="117">
        <v>60</v>
      </c>
      <c r="G29" s="110">
        <v>2</v>
      </c>
      <c r="H29" s="110">
        <v>77</v>
      </c>
      <c r="I29" s="117">
        <v>1</v>
      </c>
      <c r="J29" s="117">
        <v>-12</v>
      </c>
      <c r="K29" s="117">
        <v>2</v>
      </c>
      <c r="L29" s="640">
        <v>-18</v>
      </c>
      <c r="M29" s="640">
        <v>3</v>
      </c>
      <c r="N29" s="640">
        <v>-120</v>
      </c>
      <c r="O29" s="10">
        <v>4</v>
      </c>
      <c r="P29" s="640">
        <v>33</v>
      </c>
      <c r="Q29" s="640">
        <v>-20</v>
      </c>
      <c r="R29" s="640"/>
      <c r="S29" s="10"/>
      <c r="T29" s="10"/>
      <c r="U29" s="10"/>
      <c r="V29" s="10"/>
      <c r="W29" s="10"/>
      <c r="X29" s="10"/>
      <c r="Y29" s="10"/>
    </row>
    <row r="30" spans="1:25">
      <c r="A30" s="262" t="s">
        <v>212</v>
      </c>
      <c r="B30" s="536"/>
      <c r="C30" s="117">
        <v>-1</v>
      </c>
      <c r="D30" s="117">
        <v>-7</v>
      </c>
      <c r="E30" s="585">
        <v>0</v>
      </c>
      <c r="F30" s="117">
        <v>-10</v>
      </c>
      <c r="G30" s="585">
        <v>0</v>
      </c>
      <c r="H30" s="117">
        <v>-15</v>
      </c>
      <c r="I30" s="117">
        <v>0</v>
      </c>
      <c r="J30" s="117">
        <v>3</v>
      </c>
      <c r="K30" s="585">
        <v>0</v>
      </c>
      <c r="L30" s="640">
        <v>3</v>
      </c>
      <c r="M30" s="640">
        <v>-1</v>
      </c>
      <c r="N30" s="640">
        <v>23</v>
      </c>
      <c r="O30" s="640">
        <v>-1</v>
      </c>
      <c r="P30" s="640">
        <v>-6</v>
      </c>
      <c r="Q30" s="640">
        <v>4</v>
      </c>
      <c r="R30" s="640"/>
      <c r="S30" s="10"/>
      <c r="T30" s="10"/>
      <c r="U30" s="10"/>
      <c r="V30" s="10"/>
      <c r="W30" s="10"/>
      <c r="X30" s="10"/>
      <c r="Y30" s="10"/>
    </row>
    <row r="31" spans="1:25" ht="26.25">
      <c r="A31" s="642" t="s">
        <v>831</v>
      </c>
      <c r="B31" s="536"/>
      <c r="C31" s="117"/>
      <c r="D31" s="117"/>
      <c r="E31" s="585"/>
      <c r="F31" s="117"/>
      <c r="G31" s="585"/>
      <c r="H31" s="117"/>
      <c r="I31" s="117"/>
      <c r="J31" s="585">
        <v>0</v>
      </c>
      <c r="K31" s="585"/>
      <c r="L31" s="640"/>
      <c r="M31" s="640"/>
      <c r="N31" s="640">
        <v>-1</v>
      </c>
      <c r="O31" s="585">
        <v>0</v>
      </c>
      <c r="P31" s="640"/>
      <c r="Q31" s="10"/>
      <c r="R31" s="640"/>
      <c r="S31" s="10"/>
      <c r="T31" s="10"/>
      <c r="U31" s="10"/>
      <c r="V31" s="10"/>
      <c r="W31" s="10"/>
      <c r="X31" s="10"/>
      <c r="Y31" s="10"/>
    </row>
    <row r="32" spans="1:25" ht="26.25">
      <c r="A32" s="578" t="s">
        <v>630</v>
      </c>
      <c r="B32" s="536"/>
      <c r="C32" s="117">
        <v>4</v>
      </c>
      <c r="D32" s="117">
        <v>33</v>
      </c>
      <c r="E32" s="117">
        <v>-1</v>
      </c>
      <c r="F32" s="117">
        <v>50</v>
      </c>
      <c r="G32" s="396">
        <v>2</v>
      </c>
      <c r="H32" s="396">
        <v>62</v>
      </c>
      <c r="I32" s="513">
        <v>1</v>
      </c>
      <c r="J32" s="513">
        <v>-9</v>
      </c>
      <c r="K32" s="513">
        <v>2</v>
      </c>
      <c r="L32" s="640">
        <v>-15</v>
      </c>
      <c r="M32" s="640">
        <v>2</v>
      </c>
      <c r="N32" s="640">
        <v>-98</v>
      </c>
      <c r="O32" s="10">
        <v>3</v>
      </c>
      <c r="P32" s="640">
        <v>27</v>
      </c>
      <c r="Q32" s="640">
        <v>-16</v>
      </c>
      <c r="R32" s="640"/>
      <c r="S32" s="10"/>
      <c r="T32" s="10"/>
      <c r="U32" s="10"/>
      <c r="V32" s="10"/>
      <c r="W32" s="10"/>
      <c r="X32" s="10"/>
      <c r="Y32" s="10"/>
    </row>
    <row r="33" spans="1:25">
      <c r="A33" s="578"/>
      <c r="B33" s="536"/>
      <c r="C33" s="117"/>
      <c r="D33" s="117"/>
      <c r="E33" s="117"/>
      <c r="F33" s="117"/>
      <c r="I33" s="117"/>
      <c r="J33" s="117"/>
      <c r="K33" s="117"/>
      <c r="L33" s="640"/>
      <c r="M33" s="640"/>
      <c r="N33" s="640"/>
      <c r="P33" s="640"/>
      <c r="Q33" s="10"/>
      <c r="R33" s="640"/>
      <c r="S33" s="10"/>
      <c r="T33" s="10"/>
      <c r="U33" s="10"/>
      <c r="V33" s="10"/>
      <c r="W33" s="10"/>
      <c r="X33" s="10"/>
      <c r="Y33" s="10"/>
    </row>
    <row r="34" spans="1:25" ht="26.25">
      <c r="A34" s="578" t="s">
        <v>746</v>
      </c>
      <c r="B34" s="536"/>
      <c r="C34" s="117"/>
      <c r="D34" s="117"/>
      <c r="E34" s="117"/>
      <c r="F34" s="117">
        <v>11</v>
      </c>
      <c r="G34" s="117">
        <v>-1</v>
      </c>
      <c r="H34" s="117">
        <v>12</v>
      </c>
      <c r="I34" s="117"/>
      <c r="J34" s="117">
        <v>7</v>
      </c>
      <c r="K34" s="585">
        <v>0</v>
      </c>
      <c r="L34" s="585">
        <v>0</v>
      </c>
      <c r="M34" s="585">
        <v>0</v>
      </c>
      <c r="N34" s="585">
        <v>0</v>
      </c>
      <c r="O34" s="585">
        <v>0</v>
      </c>
      <c r="P34" s="640"/>
      <c r="Q34" s="10"/>
      <c r="R34" s="640"/>
      <c r="S34" s="10"/>
      <c r="T34" s="10"/>
      <c r="U34" s="10"/>
      <c r="V34" s="10"/>
      <c r="W34" s="10"/>
      <c r="X34" s="10"/>
      <c r="Y34" s="10"/>
    </row>
    <row r="35" spans="1:25">
      <c r="A35" s="578"/>
      <c r="B35" s="536"/>
      <c r="C35" s="117"/>
      <c r="D35" s="117"/>
      <c r="F35" s="117"/>
      <c r="I35" s="117"/>
      <c r="J35" s="117"/>
      <c r="K35" s="117"/>
      <c r="L35" s="640"/>
      <c r="M35" s="640"/>
      <c r="N35" s="640"/>
      <c r="P35" s="640"/>
      <c r="Q35" s="10"/>
      <c r="R35" s="640"/>
      <c r="S35" s="10"/>
      <c r="T35" s="10"/>
      <c r="U35" s="10"/>
      <c r="V35" s="10"/>
      <c r="W35" s="10"/>
      <c r="X35" s="10"/>
      <c r="Y35" s="10"/>
    </row>
    <row r="36" spans="1:25">
      <c r="A36" s="565" t="s">
        <v>213</v>
      </c>
      <c r="B36" s="536"/>
      <c r="C36" s="117">
        <v>106</v>
      </c>
      <c r="D36" s="117">
        <v>41</v>
      </c>
      <c r="E36" s="117">
        <v>59</v>
      </c>
      <c r="F36" s="117">
        <v>274</v>
      </c>
      <c r="G36" s="110">
        <v>139</v>
      </c>
      <c r="H36" s="117">
        <v>212</v>
      </c>
      <c r="I36" s="117">
        <v>-4</v>
      </c>
      <c r="J36" s="117">
        <v>-105</v>
      </c>
      <c r="K36" s="117">
        <v>-62</v>
      </c>
      <c r="L36" s="640">
        <v>-103</v>
      </c>
      <c r="M36" s="640">
        <v>-66</v>
      </c>
      <c r="N36" s="640">
        <v>-108</v>
      </c>
      <c r="O36" s="10">
        <v>3</v>
      </c>
      <c r="P36" s="640">
        <v>3</v>
      </c>
      <c r="Q36" s="640">
        <v>-131</v>
      </c>
      <c r="R36" s="640"/>
      <c r="S36" s="10"/>
      <c r="T36" s="10"/>
      <c r="U36" s="10"/>
      <c r="V36" s="10"/>
      <c r="W36" s="10"/>
      <c r="X36" s="10"/>
      <c r="Y36" s="10"/>
    </row>
    <row r="37" spans="1:25">
      <c r="A37" s="565" t="s">
        <v>687</v>
      </c>
      <c r="B37" s="536"/>
      <c r="C37" s="117">
        <v>956</v>
      </c>
      <c r="D37" s="117">
        <v>-427</v>
      </c>
      <c r="E37" s="117">
        <v>174</v>
      </c>
      <c r="F37" s="117">
        <v>162</v>
      </c>
      <c r="G37" s="110">
        <v>1040</v>
      </c>
      <c r="H37" s="117">
        <v>-60</v>
      </c>
      <c r="I37" s="117">
        <v>-236</v>
      </c>
      <c r="J37" s="117">
        <v>-636</v>
      </c>
      <c r="K37" s="117">
        <v>974</v>
      </c>
      <c r="L37" s="640">
        <v>737</v>
      </c>
      <c r="M37" s="640">
        <v>321</v>
      </c>
      <c r="N37" s="640">
        <v>-693</v>
      </c>
      <c r="O37" s="10">
        <v>534</v>
      </c>
      <c r="P37" s="640">
        <v>-1371</v>
      </c>
      <c r="Q37" s="640">
        <v>505</v>
      </c>
      <c r="R37" s="640"/>
      <c r="S37" s="10"/>
      <c r="T37" s="10"/>
      <c r="U37" s="10"/>
      <c r="V37" s="10"/>
      <c r="W37" s="10"/>
      <c r="X37" s="10"/>
      <c r="Y37" s="10"/>
    </row>
    <row r="38" spans="1:25">
      <c r="A38" s="80" t="s">
        <v>382</v>
      </c>
      <c r="B38" s="536"/>
      <c r="D38" s="117"/>
      <c r="H38" s="117"/>
      <c r="I38" s="117"/>
      <c r="J38" s="117"/>
      <c r="K38" s="117"/>
      <c r="L38" s="640"/>
      <c r="M38" s="640"/>
      <c r="N38" s="640"/>
      <c r="P38" s="640"/>
      <c r="Q38" s="640"/>
      <c r="R38" s="640"/>
      <c r="S38" s="10"/>
      <c r="T38" s="10"/>
      <c r="U38" s="10"/>
      <c r="V38" s="10"/>
      <c r="W38" s="10"/>
      <c r="X38" s="10"/>
      <c r="Y38" s="10"/>
    </row>
    <row r="39" spans="1:25">
      <c r="A39" s="87" t="s">
        <v>383</v>
      </c>
      <c r="B39" s="536"/>
      <c r="C39" s="508">
        <v>839</v>
      </c>
      <c r="D39" s="117">
        <v>-483</v>
      </c>
      <c r="E39" s="508">
        <v>101</v>
      </c>
      <c r="F39" s="508">
        <v>-119</v>
      </c>
      <c r="G39" s="110">
        <v>900</v>
      </c>
      <c r="H39" s="117">
        <v>-273</v>
      </c>
      <c r="I39" s="117">
        <v>-232</v>
      </c>
      <c r="J39" s="117">
        <v>-529</v>
      </c>
      <c r="K39" s="117">
        <v>1034</v>
      </c>
      <c r="L39" s="640">
        <v>839</v>
      </c>
      <c r="M39" s="640">
        <v>385</v>
      </c>
      <c r="N39" s="640">
        <v>-585</v>
      </c>
      <c r="O39" s="10">
        <v>531</v>
      </c>
      <c r="P39" s="640">
        <v>-1376</v>
      </c>
      <c r="Q39" s="640">
        <v>635</v>
      </c>
      <c r="R39" s="640"/>
      <c r="S39" s="10"/>
      <c r="T39" s="10"/>
      <c r="U39" s="10"/>
      <c r="V39" s="10"/>
      <c r="W39" s="10"/>
      <c r="X39" s="10"/>
      <c r="Y39" s="10"/>
    </row>
    <row r="40" spans="1:25">
      <c r="A40" s="87" t="s">
        <v>384</v>
      </c>
      <c r="B40" s="536"/>
      <c r="C40" s="508">
        <v>12</v>
      </c>
      <c r="D40" s="117">
        <v>14</v>
      </c>
      <c r="E40" s="508">
        <v>14</v>
      </c>
      <c r="F40" s="508">
        <v>7</v>
      </c>
      <c r="G40" s="110">
        <v>1</v>
      </c>
      <c r="H40" s="110">
        <v>1</v>
      </c>
      <c r="I40" s="585">
        <v>0</v>
      </c>
      <c r="J40" s="117">
        <v>-2</v>
      </c>
      <c r="K40" s="117">
        <v>2</v>
      </c>
      <c r="L40" s="640">
        <v>1</v>
      </c>
      <c r="M40" s="640">
        <v>2</v>
      </c>
      <c r="N40" s="585">
        <v>0</v>
      </c>
      <c r="O40" s="585">
        <v>0</v>
      </c>
      <c r="P40" s="640">
        <v>2</v>
      </c>
      <c r="Q40" s="640">
        <v>1</v>
      </c>
      <c r="R40" s="640"/>
      <c r="S40" s="10"/>
      <c r="T40" s="10"/>
      <c r="U40" s="10"/>
      <c r="V40" s="10"/>
      <c r="W40" s="10"/>
      <c r="X40" s="10"/>
      <c r="Y40" s="10"/>
    </row>
    <row r="41" spans="1:25">
      <c r="A41" s="80" t="s">
        <v>217</v>
      </c>
      <c r="B41" s="536"/>
      <c r="C41" s="508"/>
      <c r="D41" s="117"/>
      <c r="E41" s="508"/>
      <c r="F41" s="508"/>
      <c r="H41" s="117"/>
      <c r="I41" s="117"/>
      <c r="J41" s="117"/>
      <c r="K41" s="117"/>
      <c r="L41" s="640"/>
      <c r="M41" s="640"/>
      <c r="N41" s="640"/>
      <c r="P41" s="640"/>
      <c r="Q41" s="640"/>
      <c r="R41" s="640"/>
      <c r="S41" s="10"/>
      <c r="T41" s="10"/>
      <c r="U41" s="10"/>
      <c r="V41" s="10"/>
      <c r="W41" s="10"/>
      <c r="X41" s="10"/>
      <c r="Y41" s="10"/>
    </row>
    <row r="42" spans="1:25">
      <c r="A42" s="87" t="s">
        <v>383</v>
      </c>
      <c r="B42" s="536"/>
      <c r="C42" s="75">
        <v>944</v>
      </c>
      <c r="D42" s="117">
        <v>-441</v>
      </c>
      <c r="E42" s="75">
        <v>160</v>
      </c>
      <c r="F42" s="75">
        <v>155</v>
      </c>
      <c r="G42" s="110">
        <v>1039</v>
      </c>
      <c r="H42" s="117">
        <v>-61</v>
      </c>
      <c r="I42" s="117">
        <v>-236</v>
      </c>
      <c r="J42" s="117">
        <v>-634</v>
      </c>
      <c r="K42" s="117">
        <v>972</v>
      </c>
      <c r="L42" s="640">
        <v>736</v>
      </c>
      <c r="M42" s="640">
        <v>319</v>
      </c>
      <c r="N42" s="640">
        <v>-693</v>
      </c>
      <c r="O42" s="10">
        <v>534</v>
      </c>
      <c r="P42" s="640">
        <v>-1373</v>
      </c>
      <c r="Q42" s="640">
        <v>504</v>
      </c>
      <c r="R42" s="640"/>
      <c r="S42" s="10"/>
      <c r="T42" s="10"/>
      <c r="U42" s="10"/>
      <c r="V42" s="10"/>
      <c r="W42" s="10"/>
      <c r="X42" s="10"/>
      <c r="Y42" s="10"/>
    </row>
    <row r="43" spans="1:25">
      <c r="A43" s="97" t="s">
        <v>384</v>
      </c>
      <c r="B43" s="536"/>
      <c r="C43" s="75">
        <v>12</v>
      </c>
      <c r="D43" s="117">
        <v>14</v>
      </c>
      <c r="E43" s="75">
        <v>14</v>
      </c>
      <c r="F43" s="75">
        <v>7</v>
      </c>
      <c r="G43" s="110">
        <v>1</v>
      </c>
      <c r="H43" s="110">
        <v>1</v>
      </c>
      <c r="I43" s="585">
        <v>0</v>
      </c>
      <c r="J43" s="117">
        <v>-2</v>
      </c>
      <c r="K43" s="117">
        <v>2</v>
      </c>
      <c r="L43" s="640">
        <v>1</v>
      </c>
      <c r="M43" s="640">
        <v>2</v>
      </c>
      <c r="N43" s="585">
        <v>0</v>
      </c>
      <c r="O43" s="585">
        <v>0</v>
      </c>
      <c r="P43" s="640">
        <v>2</v>
      </c>
      <c r="Q43" s="640">
        <v>1</v>
      </c>
      <c r="R43" s="640"/>
      <c r="S43" s="10"/>
      <c r="T43" s="10"/>
      <c r="U43" s="10"/>
      <c r="V43" s="10"/>
      <c r="W43" s="10"/>
      <c r="X43" s="10"/>
      <c r="Y43" s="10"/>
    </row>
    <row r="44" spans="1:25">
      <c r="A44" s="80"/>
      <c r="B44" s="536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640"/>
      <c r="S44" s="10"/>
      <c r="T44" s="10"/>
      <c r="U44" s="10"/>
      <c r="V44" s="10"/>
      <c r="W44" s="10"/>
      <c r="X44" s="10"/>
      <c r="Y44" s="10"/>
    </row>
    <row r="45" spans="1:25">
      <c r="A45" s="577" t="s">
        <v>689</v>
      </c>
      <c r="B45" s="536"/>
      <c r="C45" s="99">
        <v>0.48</v>
      </c>
      <c r="D45" s="99">
        <v>-0.27999999999999997</v>
      </c>
      <c r="E45" s="99">
        <v>0.06</v>
      </c>
      <c r="F45" s="99">
        <v>-7.0000000000000007E-2</v>
      </c>
      <c r="G45" s="99">
        <v>0.51353759447877789</v>
      </c>
      <c r="H45" s="99">
        <v>-0.15577307032522925</v>
      </c>
      <c r="I45" s="99">
        <v>-0.132378579910085</v>
      </c>
      <c r="J45" s="99">
        <v>-0.30184598608808166</v>
      </c>
      <c r="K45" s="99">
        <v>0.58999763632339597</v>
      </c>
      <c r="L45" s="99">
        <v>0.47873115751966078</v>
      </c>
      <c r="M45" s="99">
        <v>0.21967997097147718</v>
      </c>
      <c r="N45" s="99">
        <v>-0.33379943641120557</v>
      </c>
      <c r="O45" s="99">
        <v>0.30298718074247899</v>
      </c>
      <c r="P45" s="99">
        <v>-0.78514192222533152</v>
      </c>
      <c r="Q45" s="99">
        <v>0.36232930277113773</v>
      </c>
      <c r="R45" s="640"/>
      <c r="S45" s="10"/>
      <c r="T45" s="10"/>
      <c r="U45" s="10"/>
      <c r="V45" s="10"/>
      <c r="W45" s="10"/>
      <c r="X45" s="10"/>
      <c r="Y45" s="10"/>
    </row>
    <row r="46" spans="1:25">
      <c r="T46" s="10"/>
    </row>
    <row r="47" spans="1:25" s="395" customFormat="1" ht="12.75">
      <c r="A47" s="397" t="s">
        <v>385</v>
      </c>
      <c r="B47" s="535"/>
      <c r="C47" s="535" t="s">
        <v>667</v>
      </c>
      <c r="D47" s="535"/>
      <c r="E47" s="584"/>
      <c r="F47" s="111"/>
    </row>
    <row r="48" spans="1:25" ht="74.25" customHeight="1">
      <c r="A48" s="576" t="s">
        <v>681</v>
      </c>
      <c r="F48" s="73" t="s">
        <v>669</v>
      </c>
      <c r="G48" s="73" t="s">
        <v>703</v>
      </c>
      <c r="H48" s="73" t="s">
        <v>712</v>
      </c>
      <c r="I48" s="73" t="s">
        <v>733</v>
      </c>
      <c r="J48" s="73" t="s">
        <v>749</v>
      </c>
      <c r="K48" s="73" t="s">
        <v>787</v>
      </c>
      <c r="L48" s="73" t="s">
        <v>800</v>
      </c>
      <c r="M48" s="73" t="s">
        <v>822</v>
      </c>
      <c r="N48" s="73" t="s">
        <v>873</v>
      </c>
      <c r="O48" s="73" t="s">
        <v>875</v>
      </c>
      <c r="P48" s="73" t="s">
        <v>886</v>
      </c>
      <c r="Q48" s="73" t="s">
        <v>914</v>
      </c>
    </row>
    <row r="49" spans="1:17">
      <c r="A49" s="80" t="s">
        <v>219</v>
      </c>
    </row>
    <row r="50" spans="1:17">
      <c r="A50" s="80" t="s">
        <v>220</v>
      </c>
    </row>
    <row r="51" spans="1:17" ht="12.75">
      <c r="A51" s="80" t="s">
        <v>221</v>
      </c>
      <c r="F51" s="91">
        <v>29174</v>
      </c>
      <c r="G51" s="91">
        <v>29265</v>
      </c>
      <c r="H51" s="91">
        <v>29272</v>
      </c>
      <c r="I51" s="91">
        <v>29898</v>
      </c>
      <c r="J51" s="91">
        <v>29731</v>
      </c>
      <c r="K51" s="91">
        <v>30058</v>
      </c>
      <c r="L51" s="91">
        <v>30636</v>
      </c>
      <c r="M51" s="91">
        <v>31138</v>
      </c>
      <c r="N51" s="91">
        <v>31872</v>
      </c>
      <c r="O51" s="91">
        <v>32193</v>
      </c>
      <c r="P51" s="91">
        <v>31061</v>
      </c>
      <c r="Q51" s="91">
        <v>32224</v>
      </c>
    </row>
    <row r="52" spans="1:17" ht="12.75">
      <c r="A52" s="80" t="s">
        <v>536</v>
      </c>
      <c r="F52" s="91">
        <v>1946</v>
      </c>
      <c r="G52" s="91">
        <v>1945</v>
      </c>
      <c r="H52" s="91">
        <v>1999</v>
      </c>
      <c r="I52" s="91">
        <v>1994</v>
      </c>
      <c r="J52" s="91">
        <v>1996</v>
      </c>
      <c r="K52" s="91">
        <v>2015</v>
      </c>
      <c r="L52" s="91">
        <v>2025</v>
      </c>
      <c r="M52" s="91">
        <v>2032</v>
      </c>
      <c r="N52" s="91">
        <v>2164</v>
      </c>
      <c r="O52" s="91">
        <v>2357</v>
      </c>
      <c r="P52" s="91">
        <v>2364</v>
      </c>
      <c r="Q52" s="91">
        <v>2506</v>
      </c>
    </row>
    <row r="53" spans="1:17" ht="12.75">
      <c r="A53" s="80" t="s">
        <v>222</v>
      </c>
      <c r="F53" s="91">
        <v>26</v>
      </c>
      <c r="G53" s="91">
        <v>26</v>
      </c>
      <c r="H53" s="91">
        <v>26</v>
      </c>
      <c r="I53" s="91">
        <v>26</v>
      </c>
      <c r="J53" s="91">
        <v>26</v>
      </c>
      <c r="K53" s="91">
        <v>26</v>
      </c>
      <c r="L53" s="91">
        <v>26</v>
      </c>
      <c r="M53" s="91">
        <v>26</v>
      </c>
      <c r="N53" s="91">
        <v>26</v>
      </c>
      <c r="O53" s="91">
        <v>26</v>
      </c>
      <c r="P53" s="91">
        <v>26</v>
      </c>
      <c r="Q53" s="91">
        <v>26</v>
      </c>
    </row>
    <row r="54" spans="1:17" ht="28.5">
      <c r="A54" s="123" t="s">
        <v>612</v>
      </c>
      <c r="F54" s="91">
        <v>444</v>
      </c>
      <c r="G54" s="394">
        <v>0</v>
      </c>
      <c r="H54" s="394">
        <v>0</v>
      </c>
      <c r="I54" s="91">
        <v>2</v>
      </c>
      <c r="J54" s="91">
        <v>55</v>
      </c>
      <c r="K54" s="394">
        <v>0</v>
      </c>
      <c r="L54" s="394">
        <v>0</v>
      </c>
      <c r="M54" s="394">
        <v>0</v>
      </c>
      <c r="N54" s="91">
        <v>24</v>
      </c>
      <c r="O54" s="91">
        <v>12</v>
      </c>
      <c r="P54" s="91">
        <v>24</v>
      </c>
      <c r="Q54" s="91">
        <v>31</v>
      </c>
    </row>
    <row r="55" spans="1:17" ht="12.75">
      <c r="A55" s="80" t="s">
        <v>223</v>
      </c>
      <c r="F55" s="91">
        <v>540</v>
      </c>
      <c r="G55" s="91">
        <v>551</v>
      </c>
      <c r="H55" s="91">
        <v>644</v>
      </c>
      <c r="I55" s="91">
        <v>630</v>
      </c>
      <c r="J55" s="91">
        <v>726</v>
      </c>
      <c r="K55" s="91">
        <v>716</v>
      </c>
      <c r="L55" s="91">
        <v>709</v>
      </c>
      <c r="M55" s="91">
        <v>696</v>
      </c>
      <c r="N55" s="91">
        <v>848</v>
      </c>
      <c r="O55" s="91">
        <v>813</v>
      </c>
      <c r="P55" s="91">
        <v>799</v>
      </c>
      <c r="Q55" s="91">
        <v>773</v>
      </c>
    </row>
    <row r="56" spans="1:17" ht="12.75">
      <c r="A56" s="80" t="s">
        <v>224</v>
      </c>
      <c r="F56" s="91">
        <v>597</v>
      </c>
      <c r="G56" s="91">
        <v>631</v>
      </c>
      <c r="H56" s="91">
        <v>652</v>
      </c>
      <c r="I56" s="91">
        <v>699</v>
      </c>
      <c r="J56" s="91">
        <v>682</v>
      </c>
      <c r="K56" s="91">
        <v>716</v>
      </c>
      <c r="L56" s="91">
        <v>736</v>
      </c>
      <c r="M56" s="91">
        <v>771</v>
      </c>
      <c r="N56" s="91">
        <v>169</v>
      </c>
      <c r="O56" s="91">
        <v>191</v>
      </c>
      <c r="P56" s="91">
        <v>190</v>
      </c>
      <c r="Q56" s="91">
        <v>192</v>
      </c>
    </row>
    <row r="57" spans="1:17" ht="12.75">
      <c r="A57" s="80" t="s">
        <v>225</v>
      </c>
      <c r="F57" s="91">
        <v>99</v>
      </c>
      <c r="G57" s="91">
        <v>215</v>
      </c>
      <c r="H57" s="91">
        <v>199</v>
      </c>
      <c r="I57" s="91">
        <v>198</v>
      </c>
      <c r="J57" s="91">
        <v>206</v>
      </c>
      <c r="K57" s="91">
        <v>215</v>
      </c>
      <c r="L57" s="91">
        <v>220</v>
      </c>
      <c r="M57" s="91">
        <v>222</v>
      </c>
      <c r="N57" s="91">
        <v>357</v>
      </c>
      <c r="O57" s="91">
        <v>368</v>
      </c>
      <c r="P57" s="91">
        <v>448</v>
      </c>
      <c r="Q57" s="91">
        <v>459</v>
      </c>
    </row>
    <row r="58" spans="1:17" ht="12.75">
      <c r="A58" s="80" t="s">
        <v>389</v>
      </c>
      <c r="F58" s="91">
        <v>532</v>
      </c>
      <c r="G58" s="91">
        <v>554</v>
      </c>
      <c r="H58" s="91">
        <v>690</v>
      </c>
      <c r="I58" s="91">
        <v>790</v>
      </c>
      <c r="J58" s="91">
        <v>390</v>
      </c>
      <c r="K58" s="91">
        <v>340</v>
      </c>
      <c r="L58" s="91">
        <v>244</v>
      </c>
      <c r="M58" s="91">
        <v>251</v>
      </c>
      <c r="N58" s="91">
        <v>149</v>
      </c>
      <c r="O58" s="91">
        <v>206</v>
      </c>
      <c r="P58" s="91">
        <v>180</v>
      </c>
      <c r="Q58" s="91">
        <v>170</v>
      </c>
    </row>
    <row r="59" spans="1:17" ht="12.75">
      <c r="A59" s="80" t="s">
        <v>226</v>
      </c>
      <c r="F59" s="91">
        <v>215</v>
      </c>
      <c r="G59" s="91">
        <v>227</v>
      </c>
      <c r="H59" s="91">
        <v>232</v>
      </c>
      <c r="I59" s="91">
        <v>228</v>
      </c>
      <c r="J59" s="91">
        <v>301</v>
      </c>
      <c r="K59" s="91">
        <v>236</v>
      </c>
      <c r="L59" s="91">
        <v>239</v>
      </c>
      <c r="M59" s="91">
        <v>242</v>
      </c>
      <c r="N59" s="91">
        <v>278</v>
      </c>
      <c r="O59" s="91">
        <v>273</v>
      </c>
      <c r="P59" s="91">
        <v>262</v>
      </c>
      <c r="Q59" s="91">
        <v>271</v>
      </c>
    </row>
    <row r="60" spans="1:17" ht="12.75">
      <c r="A60" s="80" t="s">
        <v>227</v>
      </c>
      <c r="F60" s="91">
        <v>159</v>
      </c>
      <c r="G60" s="91">
        <v>173</v>
      </c>
      <c r="H60" s="91">
        <v>272</v>
      </c>
      <c r="I60" s="91">
        <v>118</v>
      </c>
      <c r="J60" s="91">
        <v>268</v>
      </c>
      <c r="K60" s="91">
        <v>268</v>
      </c>
      <c r="L60" s="91">
        <v>322</v>
      </c>
      <c r="M60" s="91">
        <v>550</v>
      </c>
      <c r="N60" s="91">
        <v>707</v>
      </c>
      <c r="O60" s="91">
        <v>782</v>
      </c>
      <c r="P60" s="91">
        <v>892</v>
      </c>
      <c r="Q60" s="91">
        <v>465</v>
      </c>
    </row>
    <row r="61" spans="1:17" ht="12.75">
      <c r="A61" s="84" t="s">
        <v>386</v>
      </c>
      <c r="F61" s="93">
        <v>123</v>
      </c>
      <c r="G61" s="93">
        <v>858</v>
      </c>
      <c r="H61" s="93">
        <v>1212</v>
      </c>
      <c r="I61" s="93">
        <v>1382</v>
      </c>
      <c r="J61" s="93">
        <v>672</v>
      </c>
      <c r="K61" s="93">
        <v>791</v>
      </c>
      <c r="L61" s="93">
        <v>532</v>
      </c>
      <c r="M61" s="93">
        <v>570</v>
      </c>
      <c r="N61" s="93">
        <v>759</v>
      </c>
      <c r="O61" s="93">
        <v>835</v>
      </c>
      <c r="P61" s="93">
        <v>369</v>
      </c>
      <c r="Q61" s="93">
        <v>341</v>
      </c>
    </row>
    <row r="62" spans="1:17" ht="12.75">
      <c r="A62" s="100"/>
      <c r="F62" s="91">
        <v>33855</v>
      </c>
      <c r="G62" s="91">
        <v>34445</v>
      </c>
      <c r="H62" s="91">
        <v>35198</v>
      </c>
      <c r="I62" s="91">
        <v>35965</v>
      </c>
      <c r="J62" s="91">
        <v>35053</v>
      </c>
      <c r="K62" s="91">
        <v>35381</v>
      </c>
      <c r="L62" s="91">
        <v>35689</v>
      </c>
      <c r="M62" s="91">
        <v>36498</v>
      </c>
      <c r="N62" s="91">
        <v>37353</v>
      </c>
      <c r="O62" s="91">
        <v>38056</v>
      </c>
      <c r="P62" s="91">
        <v>36615</v>
      </c>
      <c r="Q62" s="91">
        <v>37458</v>
      </c>
    </row>
    <row r="63" spans="1:17">
      <c r="A63" s="80" t="s">
        <v>229</v>
      </c>
      <c r="H63" s="586"/>
      <c r="I63" s="586"/>
      <c r="J63" s="586"/>
    </row>
    <row r="64" spans="1:17" ht="28.5">
      <c r="A64" s="123" t="s">
        <v>611</v>
      </c>
      <c r="F64" s="91">
        <v>157</v>
      </c>
      <c r="G64" s="91">
        <v>970</v>
      </c>
      <c r="H64" s="91">
        <v>576</v>
      </c>
      <c r="I64" s="91">
        <v>280</v>
      </c>
      <c r="J64" s="91">
        <v>597</v>
      </c>
      <c r="K64" s="110">
        <v>1360</v>
      </c>
      <c r="L64" s="110">
        <v>395</v>
      </c>
      <c r="M64" s="110">
        <v>190</v>
      </c>
      <c r="N64" s="586">
        <v>702</v>
      </c>
      <c r="O64" s="586">
        <v>1141</v>
      </c>
      <c r="P64" s="586">
        <v>527</v>
      </c>
      <c r="Q64" s="586">
        <f>'Bilans_Balance sheet'!C18</f>
        <v>219</v>
      </c>
    </row>
    <row r="65" spans="1:17" ht="12.75">
      <c r="A65" s="80" t="s">
        <v>230</v>
      </c>
      <c r="F65" s="91">
        <v>543</v>
      </c>
      <c r="G65" s="91">
        <v>524</v>
      </c>
      <c r="H65" s="91">
        <v>577</v>
      </c>
      <c r="I65" s="91">
        <v>695</v>
      </c>
      <c r="J65" s="91">
        <v>1118</v>
      </c>
      <c r="K65" s="110">
        <v>1709</v>
      </c>
      <c r="L65" s="110">
        <v>1638</v>
      </c>
      <c r="M65" s="110">
        <v>1631</v>
      </c>
      <c r="N65" s="586">
        <v>1483</v>
      </c>
      <c r="O65" s="586">
        <v>1404</v>
      </c>
      <c r="P65" s="586">
        <v>1184</v>
      </c>
      <c r="Q65" s="586">
        <f>'Bilans_Balance sheet'!C19</f>
        <v>1084</v>
      </c>
    </row>
    <row r="66" spans="1:17" ht="12.75">
      <c r="A66" s="80" t="s">
        <v>231</v>
      </c>
      <c r="F66" s="91">
        <v>3322</v>
      </c>
      <c r="G66" s="91">
        <v>3945</v>
      </c>
      <c r="H66" s="91">
        <v>3519</v>
      </c>
      <c r="I66" s="91">
        <v>3513</v>
      </c>
      <c r="J66" s="91">
        <v>3819</v>
      </c>
      <c r="K66" s="110">
        <v>6212</v>
      </c>
      <c r="L66" s="110">
        <v>4741</v>
      </c>
      <c r="M66" s="110">
        <v>4807</v>
      </c>
      <c r="N66" s="586">
        <v>5341</v>
      </c>
      <c r="O66" s="586">
        <v>4429</v>
      </c>
      <c r="P66" s="586">
        <v>4041</v>
      </c>
      <c r="Q66" s="586">
        <f>'Bilans_Balance sheet'!C20</f>
        <v>3871</v>
      </c>
    </row>
    <row r="67" spans="1:17" ht="12.75">
      <c r="A67" s="80" t="s">
        <v>387</v>
      </c>
      <c r="F67" s="91">
        <v>415</v>
      </c>
      <c r="G67" s="91">
        <v>515</v>
      </c>
      <c r="H67" s="91">
        <v>158</v>
      </c>
      <c r="I67" s="91">
        <v>118</v>
      </c>
      <c r="J67" s="91">
        <v>518</v>
      </c>
      <c r="K67" s="110">
        <v>580</v>
      </c>
      <c r="L67" s="110">
        <v>210</v>
      </c>
      <c r="M67" s="110">
        <v>150</v>
      </c>
      <c r="N67" s="586">
        <v>105</v>
      </c>
      <c r="O67" s="586">
        <v>110</v>
      </c>
      <c r="P67" s="586">
        <v>36</v>
      </c>
      <c r="Q67" s="586">
        <f>'Bilans_Balance sheet'!C21</f>
        <v>192</v>
      </c>
    </row>
    <row r="68" spans="1:17" ht="12.75">
      <c r="A68" s="80" t="s">
        <v>232</v>
      </c>
      <c r="F68" s="110">
        <v>292</v>
      </c>
      <c r="G68" s="110">
        <v>576</v>
      </c>
      <c r="H68" s="110">
        <v>578</v>
      </c>
      <c r="I68" s="110">
        <v>634</v>
      </c>
      <c r="J68" s="110">
        <v>803</v>
      </c>
      <c r="K68" s="110">
        <v>693</v>
      </c>
      <c r="L68" s="110">
        <v>443</v>
      </c>
      <c r="M68" s="110">
        <v>544</v>
      </c>
      <c r="N68" s="586">
        <v>794</v>
      </c>
      <c r="O68" s="586">
        <v>468</v>
      </c>
      <c r="P68" s="586">
        <v>421</v>
      </c>
      <c r="Q68" s="586">
        <f>'Bilans_Balance sheet'!C22</f>
        <v>878</v>
      </c>
    </row>
    <row r="69" spans="1:17" ht="12.75">
      <c r="A69" s="80" t="s">
        <v>225</v>
      </c>
      <c r="F69" s="394">
        <v>0</v>
      </c>
      <c r="G69" s="394">
        <v>0</v>
      </c>
      <c r="H69" s="394">
        <v>0</v>
      </c>
      <c r="I69" s="394">
        <v>0</v>
      </c>
      <c r="J69" s="394">
        <v>0</v>
      </c>
      <c r="K69" s="394">
        <v>0</v>
      </c>
      <c r="L69" s="394">
        <v>0</v>
      </c>
      <c r="M69" s="394">
        <v>0</v>
      </c>
      <c r="N69" s="394">
        <v>0</v>
      </c>
      <c r="O69" s="394">
        <v>0</v>
      </c>
      <c r="P69" s="394">
        <v>0</v>
      </c>
      <c r="Q69" s="394">
        <f>'Bilans_Balance sheet'!C23</f>
        <v>370</v>
      </c>
    </row>
    <row r="70" spans="1:17" ht="12.75">
      <c r="A70" s="80" t="s">
        <v>690</v>
      </c>
      <c r="F70" s="91">
        <v>465</v>
      </c>
      <c r="G70" s="91">
        <v>628</v>
      </c>
      <c r="H70" s="91">
        <v>943</v>
      </c>
      <c r="I70" s="91">
        <v>1270</v>
      </c>
      <c r="J70" s="91">
        <v>459</v>
      </c>
      <c r="K70" s="110">
        <v>389</v>
      </c>
      <c r="L70" s="110">
        <v>345</v>
      </c>
      <c r="M70" s="110">
        <v>401</v>
      </c>
      <c r="N70" s="586">
        <v>275</v>
      </c>
      <c r="O70" s="586">
        <v>410</v>
      </c>
      <c r="P70" s="586">
        <v>369</v>
      </c>
      <c r="Q70" s="586">
        <v>370</v>
      </c>
    </row>
    <row r="71" spans="1:17" ht="12.75">
      <c r="A71" s="80" t="s">
        <v>226</v>
      </c>
      <c r="F71" s="91">
        <v>89</v>
      </c>
      <c r="G71" s="91">
        <v>112</v>
      </c>
      <c r="H71" s="91">
        <v>121</v>
      </c>
      <c r="I71" s="91">
        <v>209</v>
      </c>
      <c r="J71" s="91">
        <v>478</v>
      </c>
      <c r="K71" s="110">
        <v>2856</v>
      </c>
      <c r="L71" s="110">
        <v>2451</v>
      </c>
      <c r="M71" s="110">
        <v>2299</v>
      </c>
      <c r="N71" s="586">
        <v>2449</v>
      </c>
      <c r="O71" s="586">
        <v>1473</v>
      </c>
      <c r="P71" s="586">
        <v>921</v>
      </c>
      <c r="Q71" s="586">
        <v>890</v>
      </c>
    </row>
    <row r="72" spans="1:17" ht="12.75">
      <c r="A72" s="118" t="s">
        <v>227</v>
      </c>
      <c r="F72" s="91">
        <v>112</v>
      </c>
      <c r="G72" s="91">
        <v>152</v>
      </c>
      <c r="H72" s="91">
        <v>124</v>
      </c>
      <c r="I72" s="91">
        <v>839</v>
      </c>
      <c r="J72" s="91">
        <v>790</v>
      </c>
      <c r="K72" s="110">
        <v>489</v>
      </c>
      <c r="L72" s="110">
        <v>534</v>
      </c>
      <c r="M72" s="110">
        <v>377</v>
      </c>
      <c r="N72" s="586">
        <v>207</v>
      </c>
      <c r="O72" s="586">
        <v>397</v>
      </c>
      <c r="P72" s="586">
        <v>391</v>
      </c>
      <c r="Q72" s="586">
        <v>266</v>
      </c>
    </row>
    <row r="73" spans="1:17" ht="12.75">
      <c r="A73" s="80" t="s">
        <v>233</v>
      </c>
      <c r="F73" s="91">
        <v>815</v>
      </c>
      <c r="G73" s="91">
        <v>1272</v>
      </c>
      <c r="H73" s="91">
        <v>874</v>
      </c>
      <c r="I73" s="91">
        <v>964</v>
      </c>
      <c r="J73" s="91">
        <v>1678</v>
      </c>
      <c r="K73" s="110">
        <v>1350</v>
      </c>
      <c r="L73" s="110">
        <v>1247</v>
      </c>
      <c r="M73" s="110">
        <v>1994</v>
      </c>
      <c r="N73" s="586">
        <v>1084</v>
      </c>
      <c r="O73" s="586">
        <v>1106</v>
      </c>
      <c r="P73" s="586">
        <v>489</v>
      </c>
      <c r="Q73" s="586">
        <v>565</v>
      </c>
    </row>
    <row r="74" spans="1:17" ht="12.75">
      <c r="A74" s="263" t="s">
        <v>609</v>
      </c>
      <c r="F74" s="402">
        <v>10</v>
      </c>
      <c r="G74" s="402">
        <v>9</v>
      </c>
      <c r="H74" s="402">
        <v>8</v>
      </c>
      <c r="I74" s="402">
        <v>8</v>
      </c>
      <c r="J74" s="402">
        <v>7</v>
      </c>
      <c r="K74" s="402">
        <v>7</v>
      </c>
      <c r="L74" s="402">
        <v>7</v>
      </c>
      <c r="M74" s="402">
        <v>7</v>
      </c>
      <c r="N74" s="402">
        <v>5</v>
      </c>
      <c r="O74" s="402">
        <v>5</v>
      </c>
      <c r="P74" s="402">
        <v>6</v>
      </c>
      <c r="Q74" s="402">
        <v>4</v>
      </c>
    </row>
    <row r="75" spans="1:17" ht="12.75">
      <c r="A75" s="80"/>
      <c r="F75" s="91">
        <v>6220</v>
      </c>
      <c r="G75" s="91">
        <v>8703</v>
      </c>
      <c r="H75" s="91">
        <v>7478</v>
      </c>
      <c r="I75" s="91">
        <v>8530</v>
      </c>
      <c r="J75" s="91">
        <v>10267</v>
      </c>
      <c r="K75" s="91">
        <v>15645</v>
      </c>
      <c r="L75" s="91">
        <v>12011</v>
      </c>
      <c r="M75" s="91">
        <v>12400</v>
      </c>
      <c r="N75" s="91">
        <v>12445</v>
      </c>
      <c r="O75" s="91">
        <v>10943</v>
      </c>
      <c r="P75" s="91">
        <v>8385</v>
      </c>
      <c r="Q75" s="91">
        <v>8339</v>
      </c>
    </row>
    <row r="76" spans="1:17">
      <c r="A76" s="80"/>
      <c r="F76" s="511"/>
      <c r="H76" s="586"/>
      <c r="I76" s="586"/>
      <c r="J76" s="586"/>
      <c r="K76" s="586"/>
      <c r="Q76" s="10"/>
    </row>
    <row r="77" spans="1:17" ht="12.75">
      <c r="A77" s="74" t="s">
        <v>234</v>
      </c>
      <c r="F77" s="101">
        <v>40075</v>
      </c>
      <c r="G77" s="101">
        <v>43148</v>
      </c>
      <c r="H77" s="101">
        <v>42676</v>
      </c>
      <c r="I77" s="101">
        <v>44495</v>
      </c>
      <c r="J77" s="101">
        <v>45320</v>
      </c>
      <c r="K77" s="101">
        <v>51026</v>
      </c>
      <c r="L77" s="101">
        <v>47700</v>
      </c>
      <c r="M77" s="101">
        <v>48898</v>
      </c>
      <c r="N77" s="101">
        <v>49798</v>
      </c>
      <c r="O77" s="101">
        <v>48999</v>
      </c>
      <c r="P77" s="101">
        <v>45000</v>
      </c>
      <c r="Q77" s="101">
        <v>45797</v>
      </c>
    </row>
    <row r="78" spans="1:17">
      <c r="A78" s="80"/>
      <c r="F78" s="83"/>
      <c r="G78" s="83"/>
      <c r="H78" s="83"/>
      <c r="I78" s="83"/>
      <c r="J78" s="83"/>
      <c r="K78" s="83"/>
    </row>
    <row r="79" spans="1:17">
      <c r="A79" s="96" t="s">
        <v>235</v>
      </c>
      <c r="H79" s="586"/>
    </row>
    <row r="80" spans="1:17" ht="26.25">
      <c r="A80" s="252" t="s">
        <v>388</v>
      </c>
      <c r="H80" s="586"/>
    </row>
    <row r="81" spans="1:17" ht="12.75">
      <c r="A81" s="80" t="s">
        <v>237</v>
      </c>
      <c r="F81" s="91">
        <v>8763</v>
      </c>
      <c r="G81" s="91">
        <v>8763</v>
      </c>
      <c r="H81" s="91">
        <v>8763</v>
      </c>
      <c r="I81" s="91">
        <v>8763</v>
      </c>
      <c r="J81" s="91">
        <v>8763</v>
      </c>
      <c r="K81" s="91">
        <v>8763</v>
      </c>
      <c r="L81" s="91">
        <v>8763</v>
      </c>
      <c r="M81" s="91">
        <v>8763</v>
      </c>
      <c r="N81" s="91">
        <f>'Hist. dane roczne - FY figures'!F81</f>
        <v>8763</v>
      </c>
      <c r="O81" s="91">
        <v>8763</v>
      </c>
      <c r="P81" s="91">
        <v>8763</v>
      </c>
      <c r="Q81" s="91">
        <v>8763</v>
      </c>
    </row>
    <row r="82" spans="1:17" ht="12.75">
      <c r="A82" s="80" t="s">
        <v>238</v>
      </c>
      <c r="F82" s="91">
        <v>2749</v>
      </c>
      <c r="G82" s="91">
        <v>2749</v>
      </c>
      <c r="H82" s="91">
        <v>3009</v>
      </c>
      <c r="I82" s="91">
        <v>3009</v>
      </c>
      <c r="J82" s="91">
        <v>3009</v>
      </c>
      <c r="K82" s="91">
        <v>3009</v>
      </c>
      <c r="L82" s="91">
        <v>3076</v>
      </c>
      <c r="M82" s="91">
        <v>3076</v>
      </c>
      <c r="N82" s="91">
        <f>'Hist. dane roczne - FY figures'!F82</f>
        <v>3076</v>
      </c>
      <c r="O82" s="91">
        <v>3076</v>
      </c>
      <c r="P82" s="91">
        <v>2438</v>
      </c>
      <c r="Q82" s="91">
        <v>2438</v>
      </c>
    </row>
    <row r="83" spans="1:17" ht="12.75">
      <c r="A83" s="80" t="s">
        <v>239</v>
      </c>
      <c r="F83" s="77">
        <v>299</v>
      </c>
      <c r="G83" s="77">
        <v>428</v>
      </c>
      <c r="H83" s="77">
        <v>568</v>
      </c>
      <c r="I83" s="77">
        <v>547</v>
      </c>
      <c r="J83" s="77">
        <v>450</v>
      </c>
      <c r="K83" s="77">
        <v>377</v>
      </c>
      <c r="L83" s="77">
        <v>309</v>
      </c>
      <c r="M83" s="77">
        <v>238</v>
      </c>
      <c r="N83" s="77">
        <f>'Hist. dane roczne - FY figures'!F83</f>
        <v>218</v>
      </c>
      <c r="O83" s="77">
        <v>212</v>
      </c>
      <c r="P83" s="77">
        <v>191</v>
      </c>
      <c r="Q83" s="77">
        <v>144</v>
      </c>
    </row>
    <row r="84" spans="1:17" ht="12.75">
      <c r="A84" s="80" t="s">
        <v>211</v>
      </c>
      <c r="F84" s="91">
        <v>43</v>
      </c>
      <c r="G84" s="91">
        <v>52</v>
      </c>
      <c r="H84" s="91">
        <v>50</v>
      </c>
      <c r="I84" s="91">
        <v>66</v>
      </c>
      <c r="J84" s="91">
        <v>60</v>
      </c>
      <c r="K84" s="91">
        <v>69</v>
      </c>
      <c r="L84" s="91">
        <v>49</v>
      </c>
      <c r="M84" s="91">
        <v>52</v>
      </c>
      <c r="N84" s="91">
        <f>'Hist. dane roczne - FY figures'!F84</f>
        <v>62</v>
      </c>
      <c r="O84" s="91">
        <v>68</v>
      </c>
      <c r="P84" s="91">
        <v>65</v>
      </c>
      <c r="Q84" s="91">
        <v>-3</v>
      </c>
    </row>
    <row r="85" spans="1:17" ht="12.75">
      <c r="A85" s="81" t="s">
        <v>417</v>
      </c>
      <c r="F85" s="402">
        <v>4637</v>
      </c>
      <c r="G85" s="402">
        <v>5538</v>
      </c>
      <c r="H85" s="402">
        <v>5081</v>
      </c>
      <c r="I85" s="402">
        <v>4850</v>
      </c>
      <c r="J85" s="402">
        <v>4299</v>
      </c>
      <c r="K85" s="402">
        <v>5335</v>
      </c>
      <c r="L85" s="402">
        <v>6092</v>
      </c>
      <c r="M85" s="402">
        <v>6480</v>
      </c>
      <c r="N85" s="402">
        <f>'Hist. dane roczne - FY figures'!F85</f>
        <v>5796</v>
      </c>
      <c r="O85" s="402">
        <v>6330</v>
      </c>
      <c r="P85" s="402">
        <v>5619</v>
      </c>
      <c r="Q85" s="402">
        <v>6238</v>
      </c>
    </row>
    <row r="86" spans="1:17" ht="12.75">
      <c r="A86" s="80"/>
      <c r="F86" s="91">
        <v>16491</v>
      </c>
      <c r="G86" s="91">
        <v>17530</v>
      </c>
      <c r="H86" s="91">
        <v>17471</v>
      </c>
      <c r="I86" s="91">
        <v>17235</v>
      </c>
      <c r="J86" s="91">
        <v>16581</v>
      </c>
      <c r="K86" s="91">
        <v>17553</v>
      </c>
      <c r="L86" s="91">
        <v>18289</v>
      </c>
      <c r="M86" s="91">
        <v>18609</v>
      </c>
      <c r="N86" s="91">
        <f>'Hist. dane roczne - FY figures'!F86</f>
        <v>17915</v>
      </c>
      <c r="O86" s="91">
        <v>18449</v>
      </c>
      <c r="P86" s="91">
        <v>17076</v>
      </c>
      <c r="Q86" s="91">
        <v>17580</v>
      </c>
    </row>
    <row r="87" spans="1:17">
      <c r="A87" s="80"/>
      <c r="F87" s="80"/>
      <c r="G87" s="80"/>
      <c r="H87" s="586"/>
      <c r="I87" s="586"/>
      <c r="J87" s="586"/>
      <c r="L87" s="110"/>
      <c r="Q87" s="10"/>
    </row>
    <row r="88" spans="1:17">
      <c r="A88" s="80" t="s">
        <v>241</v>
      </c>
      <c r="F88" s="91">
        <v>33</v>
      </c>
      <c r="G88" s="91">
        <v>34</v>
      </c>
      <c r="H88" s="586">
        <v>32</v>
      </c>
      <c r="I88" s="586">
        <v>32</v>
      </c>
      <c r="J88" s="586">
        <v>33</v>
      </c>
      <c r="K88" s="586">
        <v>35</v>
      </c>
      <c r="L88" s="586">
        <v>36</v>
      </c>
      <c r="M88" s="586">
        <v>38</v>
      </c>
      <c r="N88" s="586">
        <f>'Hist. dane roczne - FY figures'!F88</f>
        <v>38</v>
      </c>
      <c r="O88" s="10">
        <v>38</v>
      </c>
      <c r="P88" s="10">
        <v>38</v>
      </c>
      <c r="Q88" s="10">
        <v>39</v>
      </c>
    </row>
    <row r="89" spans="1:17">
      <c r="A89" s="80"/>
      <c r="F89" s="80"/>
      <c r="G89" s="80"/>
      <c r="H89" s="586"/>
      <c r="I89" s="586"/>
      <c r="J89" s="586"/>
      <c r="K89" s="586"/>
      <c r="L89" s="586"/>
      <c r="M89" s="586"/>
      <c r="N89" s="586"/>
      <c r="Q89" s="10"/>
    </row>
    <row r="90" spans="1:17" ht="12.75">
      <c r="A90" s="83" t="s">
        <v>242</v>
      </c>
      <c r="F90" s="102">
        <v>16524</v>
      </c>
      <c r="G90" s="102">
        <v>17564</v>
      </c>
      <c r="H90" s="102">
        <v>17503</v>
      </c>
      <c r="I90" s="102">
        <v>17267</v>
      </c>
      <c r="J90" s="102">
        <v>16614</v>
      </c>
      <c r="K90" s="102">
        <v>17588</v>
      </c>
      <c r="L90" s="102">
        <v>18325</v>
      </c>
      <c r="M90" s="102">
        <v>18647</v>
      </c>
      <c r="N90" s="102">
        <f>'Hist. dane roczne - FY figures'!F90</f>
        <v>17953</v>
      </c>
      <c r="O90" s="102">
        <v>18487</v>
      </c>
      <c r="P90" s="102">
        <v>17114</v>
      </c>
      <c r="Q90" s="102">
        <v>17619</v>
      </c>
    </row>
    <row r="91" spans="1:17" ht="12.75">
      <c r="A91" s="80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</row>
    <row r="92" spans="1:17">
      <c r="A92" s="96" t="s">
        <v>243</v>
      </c>
      <c r="H92" s="586"/>
      <c r="L92" s="110"/>
    </row>
    <row r="93" spans="1:17" ht="12.75">
      <c r="A93" s="80" t="s">
        <v>691</v>
      </c>
      <c r="F93" s="562">
        <v>10947</v>
      </c>
      <c r="G93" s="562">
        <v>11810</v>
      </c>
      <c r="H93" s="562">
        <v>12252</v>
      </c>
      <c r="I93" s="562">
        <v>12387</v>
      </c>
      <c r="J93" s="562">
        <v>15959</v>
      </c>
      <c r="K93" s="562">
        <v>16993</v>
      </c>
      <c r="L93" s="562">
        <v>15206</v>
      </c>
      <c r="M93" s="562">
        <v>14623</v>
      </c>
      <c r="N93" s="562">
        <v>15317</v>
      </c>
      <c r="O93" s="562">
        <v>14002</v>
      </c>
      <c r="P93" s="562">
        <v>12407</v>
      </c>
      <c r="Q93" s="562">
        <v>14043</v>
      </c>
    </row>
    <row r="94" spans="1:17" ht="12.75">
      <c r="A94" s="80" t="s">
        <v>245</v>
      </c>
      <c r="F94" s="91">
        <v>789</v>
      </c>
      <c r="G94" s="91">
        <v>803</v>
      </c>
      <c r="H94" s="91">
        <v>662</v>
      </c>
      <c r="I94" s="91">
        <v>651</v>
      </c>
      <c r="J94" s="91">
        <v>494</v>
      </c>
      <c r="K94" s="91">
        <v>511</v>
      </c>
      <c r="L94" s="91">
        <v>547</v>
      </c>
      <c r="M94" s="91">
        <v>543</v>
      </c>
      <c r="N94" s="91">
        <v>650</v>
      </c>
      <c r="O94" s="91">
        <v>672</v>
      </c>
      <c r="P94" s="91">
        <v>639</v>
      </c>
      <c r="Q94" s="91">
        <v>663</v>
      </c>
    </row>
    <row r="95" spans="1:17" ht="25.5">
      <c r="A95" s="252" t="s">
        <v>692</v>
      </c>
      <c r="F95" s="91">
        <v>436</v>
      </c>
      <c r="G95" s="91">
        <v>425</v>
      </c>
      <c r="H95" s="91">
        <v>290</v>
      </c>
      <c r="I95" s="91">
        <v>293</v>
      </c>
      <c r="J95" s="91">
        <v>157</v>
      </c>
      <c r="K95" s="91">
        <v>155</v>
      </c>
      <c r="L95" s="91">
        <v>161</v>
      </c>
      <c r="M95" s="91">
        <v>159</v>
      </c>
      <c r="N95" s="91">
        <v>209</v>
      </c>
      <c r="O95" s="91">
        <v>208</v>
      </c>
      <c r="P95" s="91">
        <v>206</v>
      </c>
      <c r="Q95" s="91">
        <v>240</v>
      </c>
    </row>
    <row r="96" spans="1:17" ht="12.75">
      <c r="A96" s="80" t="s">
        <v>246</v>
      </c>
      <c r="F96" s="91">
        <v>568</v>
      </c>
      <c r="G96" s="91">
        <v>574</v>
      </c>
      <c r="H96" s="91">
        <v>570</v>
      </c>
      <c r="I96" s="91">
        <v>568</v>
      </c>
      <c r="J96" s="91">
        <v>571</v>
      </c>
      <c r="K96" s="91">
        <v>594</v>
      </c>
      <c r="L96" s="91">
        <v>584</v>
      </c>
      <c r="M96" s="91">
        <v>585</v>
      </c>
      <c r="N96" s="91">
        <v>607</v>
      </c>
      <c r="O96" s="91">
        <v>607</v>
      </c>
      <c r="P96" s="91">
        <v>599</v>
      </c>
      <c r="Q96" s="91">
        <v>602</v>
      </c>
    </row>
    <row r="97" spans="1:17" ht="12.75">
      <c r="A97" s="80" t="s">
        <v>390</v>
      </c>
      <c r="F97" s="91">
        <v>741</v>
      </c>
      <c r="G97" s="91">
        <v>1488</v>
      </c>
      <c r="H97" s="91">
        <v>1564</v>
      </c>
      <c r="I97" s="91">
        <v>1576</v>
      </c>
      <c r="J97" s="91">
        <v>1200</v>
      </c>
      <c r="K97" s="91">
        <v>1138</v>
      </c>
      <c r="L97" s="91">
        <v>1286</v>
      </c>
      <c r="M97" s="91">
        <v>1271</v>
      </c>
      <c r="N97" s="91">
        <v>1212</v>
      </c>
      <c r="O97" s="91">
        <v>1390</v>
      </c>
      <c r="P97" s="91">
        <v>1543</v>
      </c>
      <c r="Q97" s="91">
        <v>1691</v>
      </c>
    </row>
    <row r="98" spans="1:17" ht="12.75">
      <c r="A98" s="80" t="s">
        <v>389</v>
      </c>
      <c r="F98" s="91">
        <v>116</v>
      </c>
      <c r="G98" s="91">
        <v>41</v>
      </c>
      <c r="H98" s="91">
        <v>83</v>
      </c>
      <c r="I98" s="91">
        <v>115</v>
      </c>
      <c r="J98" s="91">
        <v>10</v>
      </c>
      <c r="K98" s="91">
        <v>19</v>
      </c>
      <c r="L98" s="91">
        <v>62</v>
      </c>
      <c r="M98" s="91">
        <v>65</v>
      </c>
      <c r="N98" s="91">
        <v>169</v>
      </c>
      <c r="O98" s="91">
        <v>216</v>
      </c>
      <c r="P98" s="91">
        <v>177</v>
      </c>
      <c r="Q98" s="91">
        <v>128</v>
      </c>
    </row>
    <row r="99" spans="1:17" ht="12.75">
      <c r="A99" s="80" t="s">
        <v>249</v>
      </c>
      <c r="F99" s="91">
        <v>33</v>
      </c>
      <c r="G99" s="91">
        <v>27</v>
      </c>
      <c r="H99" s="91">
        <v>99</v>
      </c>
      <c r="I99" s="91">
        <v>101</v>
      </c>
      <c r="J99" s="91">
        <v>119</v>
      </c>
      <c r="K99" s="91">
        <v>131</v>
      </c>
      <c r="L99" s="91">
        <v>123</v>
      </c>
      <c r="M99" s="91">
        <v>106</v>
      </c>
      <c r="N99" s="91">
        <v>184</v>
      </c>
      <c r="O99" s="91">
        <f>141+35</f>
        <v>176</v>
      </c>
      <c r="P99" s="91">
        <v>184</v>
      </c>
      <c r="Q99" s="91">
        <v>181</v>
      </c>
    </row>
    <row r="100" spans="1:17" ht="12.75">
      <c r="A100" s="84" t="s">
        <v>253</v>
      </c>
      <c r="F100" s="402">
        <v>4</v>
      </c>
      <c r="G100" s="402">
        <v>1</v>
      </c>
      <c r="H100" s="402">
        <v>1</v>
      </c>
      <c r="I100" s="402">
        <v>1</v>
      </c>
      <c r="J100" s="402">
        <v>1</v>
      </c>
      <c r="K100" s="635">
        <v>0</v>
      </c>
      <c r="L100" s="402">
        <v>1</v>
      </c>
      <c r="M100" s="402">
        <v>1</v>
      </c>
      <c r="N100" s="402">
        <v>1</v>
      </c>
      <c r="O100" s="402">
        <v>1</v>
      </c>
      <c r="P100" s="402">
        <v>1</v>
      </c>
      <c r="Q100" s="402">
        <v>1</v>
      </c>
    </row>
    <row r="101" spans="1:17" ht="12.75">
      <c r="A101" s="80"/>
      <c r="F101" s="91">
        <v>13634</v>
      </c>
      <c r="G101" s="91">
        <v>15169</v>
      </c>
      <c r="H101" s="91">
        <v>15521</v>
      </c>
      <c r="I101" s="91">
        <v>15692</v>
      </c>
      <c r="J101" s="91">
        <v>18511</v>
      </c>
      <c r="K101" s="91">
        <v>19541</v>
      </c>
      <c r="L101" s="91">
        <v>17970</v>
      </c>
      <c r="M101" s="91">
        <v>17353</v>
      </c>
      <c r="N101" s="91">
        <v>18349</v>
      </c>
      <c r="O101" s="91">
        <v>17272</v>
      </c>
      <c r="P101" s="91">
        <v>15756</v>
      </c>
      <c r="Q101" s="91">
        <v>17549</v>
      </c>
    </row>
    <row r="102" spans="1:17">
      <c r="A102" s="80" t="s">
        <v>250</v>
      </c>
      <c r="H102" s="586"/>
      <c r="L102" s="110"/>
    </row>
    <row r="103" spans="1:17" ht="12.75">
      <c r="A103" s="80" t="s">
        <v>691</v>
      </c>
      <c r="F103" s="562">
        <v>2143</v>
      </c>
      <c r="G103" s="562">
        <v>3991</v>
      </c>
      <c r="H103" s="586">
        <v>2161</v>
      </c>
      <c r="I103" s="586">
        <v>2902</v>
      </c>
      <c r="J103" s="586">
        <v>528</v>
      </c>
      <c r="K103" s="586">
        <v>1448</v>
      </c>
      <c r="L103" s="586">
        <v>1357</v>
      </c>
      <c r="M103" s="586">
        <v>1408</v>
      </c>
      <c r="N103" s="586">
        <v>2098</v>
      </c>
      <c r="O103" s="586">
        <v>2711</v>
      </c>
      <c r="P103" s="586">
        <v>1918</v>
      </c>
      <c r="Q103" s="586">
        <v>2694</v>
      </c>
    </row>
    <row r="104" spans="1:17" ht="12.75">
      <c r="A104" s="80" t="s">
        <v>248</v>
      </c>
      <c r="F104" s="563">
        <v>1242</v>
      </c>
      <c r="G104" s="563">
        <v>1622</v>
      </c>
      <c r="H104" s="586">
        <v>1359</v>
      </c>
      <c r="I104" s="586">
        <v>1740</v>
      </c>
      <c r="J104" s="586">
        <v>2246</v>
      </c>
      <c r="K104" s="586">
        <v>2229</v>
      </c>
      <c r="L104" s="586">
        <v>1687</v>
      </c>
      <c r="M104" s="586">
        <v>1999</v>
      </c>
      <c r="N104" s="586">
        <v>2088</v>
      </c>
      <c r="O104" s="586">
        <v>1529</v>
      </c>
      <c r="P104" s="586">
        <v>1446</v>
      </c>
      <c r="Q104" s="586">
        <v>1481</v>
      </c>
    </row>
    <row r="105" spans="1:17" ht="12.75">
      <c r="A105" s="579" t="s">
        <v>693</v>
      </c>
      <c r="F105" s="91">
        <v>1061</v>
      </c>
      <c r="G105" s="394">
        <v>0</v>
      </c>
      <c r="H105" s="591">
        <v>0</v>
      </c>
      <c r="I105" s="591">
        <v>0</v>
      </c>
      <c r="J105" s="591">
        <v>0</v>
      </c>
      <c r="K105" s="591">
        <v>0</v>
      </c>
      <c r="L105" s="591">
        <v>0</v>
      </c>
      <c r="M105" s="591">
        <v>0</v>
      </c>
      <c r="N105" s="591">
        <v>0</v>
      </c>
      <c r="O105" s="591">
        <v>0</v>
      </c>
      <c r="P105" s="591">
        <v>0</v>
      </c>
      <c r="Q105" s="591">
        <v>0</v>
      </c>
    </row>
    <row r="106" spans="1:17" ht="12.75">
      <c r="A106" s="80" t="s">
        <v>251</v>
      </c>
      <c r="F106" s="91">
        <v>616</v>
      </c>
      <c r="G106" s="91">
        <v>308</v>
      </c>
      <c r="H106" s="586">
        <v>399</v>
      </c>
      <c r="I106" s="586">
        <v>450</v>
      </c>
      <c r="J106" s="586">
        <v>707</v>
      </c>
      <c r="K106" s="586">
        <v>388</v>
      </c>
      <c r="L106" s="586">
        <v>448</v>
      </c>
      <c r="M106" s="586">
        <v>491</v>
      </c>
      <c r="N106" s="586">
        <v>555</v>
      </c>
      <c r="O106" s="586">
        <v>419</v>
      </c>
      <c r="P106" s="586">
        <v>529</v>
      </c>
      <c r="Q106" s="586">
        <v>450</v>
      </c>
    </row>
    <row r="107" spans="1:17" ht="12.75">
      <c r="A107" s="80" t="s">
        <v>245</v>
      </c>
      <c r="F107" s="91">
        <v>104</v>
      </c>
      <c r="G107" s="91">
        <v>94</v>
      </c>
      <c r="H107" s="586">
        <v>116</v>
      </c>
      <c r="I107" s="586">
        <v>118</v>
      </c>
      <c r="J107" s="586">
        <v>92</v>
      </c>
      <c r="K107" s="586">
        <v>75</v>
      </c>
      <c r="L107" s="586">
        <v>72</v>
      </c>
      <c r="M107" s="586">
        <v>70</v>
      </c>
      <c r="N107" s="586">
        <v>104</v>
      </c>
      <c r="O107" s="586">
        <v>82</v>
      </c>
      <c r="P107" s="586">
        <v>78</v>
      </c>
      <c r="Q107" s="586">
        <v>75</v>
      </c>
    </row>
    <row r="108" spans="1:17" ht="25.5">
      <c r="A108" s="252" t="s">
        <v>694</v>
      </c>
      <c r="F108" s="110">
        <v>1890</v>
      </c>
      <c r="G108" s="110">
        <v>1515</v>
      </c>
      <c r="H108" s="586">
        <v>1697</v>
      </c>
      <c r="I108" s="586">
        <v>2399</v>
      </c>
      <c r="J108" s="586">
        <v>3692</v>
      </c>
      <c r="K108" s="586">
        <v>3980</v>
      </c>
      <c r="L108" s="586">
        <v>1946</v>
      </c>
      <c r="M108" s="586">
        <v>2618</v>
      </c>
      <c r="N108" s="586">
        <v>3744</v>
      </c>
      <c r="O108" s="586">
        <v>4536</v>
      </c>
      <c r="P108" s="586">
        <v>4432</v>
      </c>
      <c r="Q108" s="586">
        <v>2337</v>
      </c>
    </row>
    <row r="109" spans="1:17" ht="12.75">
      <c r="A109" s="80" t="s">
        <v>252</v>
      </c>
      <c r="F109" s="91">
        <v>619</v>
      </c>
      <c r="G109" s="91">
        <v>378</v>
      </c>
      <c r="H109" s="586">
        <v>1219</v>
      </c>
      <c r="I109" s="586">
        <v>820</v>
      </c>
      <c r="J109" s="586">
        <v>387</v>
      </c>
      <c r="K109" s="586">
        <v>328</v>
      </c>
      <c r="L109" s="586">
        <v>299</v>
      </c>
      <c r="M109" s="586">
        <v>789</v>
      </c>
      <c r="N109" s="586">
        <v>843</v>
      </c>
      <c r="O109" s="586">
        <v>390</v>
      </c>
      <c r="P109" s="586">
        <v>300</v>
      </c>
      <c r="Q109" s="586">
        <v>263</v>
      </c>
    </row>
    <row r="110" spans="1:17" ht="12.75">
      <c r="A110" s="80" t="s">
        <v>246</v>
      </c>
      <c r="F110" s="91">
        <v>177</v>
      </c>
      <c r="G110" s="91">
        <v>260</v>
      </c>
      <c r="H110" s="586">
        <v>335</v>
      </c>
      <c r="I110" s="586">
        <v>427</v>
      </c>
      <c r="J110" s="586">
        <v>513</v>
      </c>
      <c r="K110" s="586">
        <v>2495</v>
      </c>
      <c r="L110" s="586">
        <v>2674</v>
      </c>
      <c r="M110" s="586">
        <v>2505</v>
      </c>
      <c r="N110" s="586">
        <v>351</v>
      </c>
      <c r="O110" s="586">
        <v>298</v>
      </c>
      <c r="P110" s="586">
        <v>349</v>
      </c>
      <c r="Q110" s="586">
        <v>606</v>
      </c>
    </row>
    <row r="111" spans="1:17" ht="12.75">
      <c r="A111" s="80" t="s">
        <v>391</v>
      </c>
      <c r="F111" s="91">
        <v>4</v>
      </c>
      <c r="G111" s="91">
        <v>129</v>
      </c>
      <c r="H111" s="586">
        <v>75</v>
      </c>
      <c r="I111" s="586">
        <v>56</v>
      </c>
      <c r="J111" s="586">
        <v>17</v>
      </c>
      <c r="K111" s="586">
        <v>366</v>
      </c>
      <c r="L111" s="586">
        <v>68</v>
      </c>
      <c r="M111" s="586">
        <v>97</v>
      </c>
      <c r="N111" s="586">
        <v>19</v>
      </c>
      <c r="O111" s="586">
        <v>69</v>
      </c>
      <c r="P111" s="586">
        <v>11</v>
      </c>
      <c r="Q111" s="586">
        <v>11</v>
      </c>
    </row>
    <row r="112" spans="1:17" ht="12.75">
      <c r="A112" s="80" t="s">
        <v>695</v>
      </c>
      <c r="F112" s="91">
        <v>629</v>
      </c>
      <c r="G112" s="91">
        <v>499</v>
      </c>
      <c r="H112" s="586">
        <v>330</v>
      </c>
      <c r="I112" s="586">
        <v>345</v>
      </c>
      <c r="J112" s="586">
        <v>324</v>
      </c>
      <c r="K112" s="586">
        <v>474</v>
      </c>
      <c r="L112" s="586">
        <v>683</v>
      </c>
      <c r="M112" s="586">
        <v>807</v>
      </c>
      <c r="N112" s="586">
        <v>1030</v>
      </c>
      <c r="O112" s="586">
        <v>726</v>
      </c>
      <c r="P112" s="586">
        <v>610</v>
      </c>
      <c r="Q112" s="586">
        <v>581</v>
      </c>
    </row>
    <row r="113" spans="1:20" ht="12.75">
      <c r="A113" s="80" t="s">
        <v>389</v>
      </c>
      <c r="F113" s="91">
        <v>379</v>
      </c>
      <c r="G113" s="91">
        <v>449</v>
      </c>
      <c r="H113" s="586">
        <v>648</v>
      </c>
      <c r="I113" s="586">
        <v>877</v>
      </c>
      <c r="J113" s="586">
        <v>331</v>
      </c>
      <c r="K113" s="586">
        <v>379</v>
      </c>
      <c r="L113" s="586">
        <v>586</v>
      </c>
      <c r="M113" s="586">
        <v>519</v>
      </c>
      <c r="N113" s="586">
        <v>644</v>
      </c>
      <c r="O113" s="586">
        <v>817</v>
      </c>
      <c r="P113" s="586">
        <v>862</v>
      </c>
      <c r="Q113" s="586">
        <v>555</v>
      </c>
    </row>
    <row r="114" spans="1:20" ht="14.65" customHeight="1">
      <c r="A114" s="80" t="s">
        <v>249</v>
      </c>
      <c r="F114" s="91">
        <v>483</v>
      </c>
      <c r="G114" s="91">
        <v>450</v>
      </c>
      <c r="H114" s="586">
        <v>605</v>
      </c>
      <c r="I114" s="586">
        <v>614</v>
      </c>
      <c r="J114" s="586">
        <v>514</v>
      </c>
      <c r="K114" s="586">
        <v>413</v>
      </c>
      <c r="L114" s="586">
        <v>435</v>
      </c>
      <c r="M114" s="586">
        <v>434</v>
      </c>
      <c r="N114" s="586">
        <v>640</v>
      </c>
      <c r="O114" s="586">
        <v>251</v>
      </c>
      <c r="P114" s="586">
        <v>335</v>
      </c>
      <c r="Q114" s="586">
        <v>360</v>
      </c>
    </row>
    <row r="115" spans="1:20" ht="12.75">
      <c r="A115" s="118" t="s">
        <v>253</v>
      </c>
      <c r="F115" s="91">
        <v>570</v>
      </c>
      <c r="G115" s="91">
        <v>720</v>
      </c>
      <c r="H115" s="586">
        <v>708</v>
      </c>
      <c r="I115" s="586">
        <v>787</v>
      </c>
      <c r="J115" s="586">
        <v>843</v>
      </c>
      <c r="K115" s="586">
        <v>1321</v>
      </c>
      <c r="L115" s="586">
        <v>1149</v>
      </c>
      <c r="M115" s="586">
        <v>1160</v>
      </c>
      <c r="N115" s="586">
        <v>1379</v>
      </c>
      <c r="O115" s="586">
        <v>1411</v>
      </c>
      <c r="P115" s="586">
        <v>1259</v>
      </c>
      <c r="Q115" s="586">
        <v>1216</v>
      </c>
    </row>
    <row r="116" spans="1:20" ht="25.5">
      <c r="A116" s="263" t="s">
        <v>696</v>
      </c>
      <c r="F116" s="587">
        <v>0</v>
      </c>
      <c r="G116" s="587">
        <v>0</v>
      </c>
      <c r="H116" s="587">
        <v>0</v>
      </c>
      <c r="I116" s="402">
        <v>1</v>
      </c>
      <c r="J116" s="402">
        <v>1</v>
      </c>
      <c r="K116" s="402">
        <v>1</v>
      </c>
      <c r="L116" s="402">
        <v>1</v>
      </c>
      <c r="M116" s="402">
        <v>1</v>
      </c>
      <c r="N116" s="402">
        <v>1</v>
      </c>
      <c r="O116" s="402">
        <v>1</v>
      </c>
      <c r="P116" s="402">
        <v>1</v>
      </c>
      <c r="Q116" s="402">
        <v>0</v>
      </c>
    </row>
    <row r="117" spans="1:20" ht="12.75">
      <c r="A117" s="96"/>
      <c r="F117" s="91">
        <v>9917</v>
      </c>
      <c r="G117" s="91">
        <v>10415</v>
      </c>
      <c r="H117" s="91">
        <v>9652</v>
      </c>
      <c r="I117" s="91">
        <v>11536</v>
      </c>
      <c r="J117" s="91">
        <v>10195</v>
      </c>
      <c r="K117" s="91">
        <v>13897</v>
      </c>
      <c r="L117" s="91">
        <v>11405</v>
      </c>
      <c r="M117" s="91">
        <v>12898</v>
      </c>
      <c r="N117" s="91">
        <v>13496</v>
      </c>
      <c r="O117" s="91">
        <v>13240</v>
      </c>
      <c r="P117" s="91">
        <v>12130</v>
      </c>
      <c r="Q117" s="91">
        <v>10629</v>
      </c>
    </row>
    <row r="118" spans="1:20">
      <c r="A118" s="80"/>
      <c r="L118" s="110"/>
      <c r="Q118" s="10"/>
    </row>
    <row r="119" spans="1:20" ht="12.75">
      <c r="A119" s="83" t="s">
        <v>254</v>
      </c>
      <c r="F119" s="102">
        <v>23551</v>
      </c>
      <c r="G119" s="102">
        <v>25584</v>
      </c>
      <c r="H119" s="102">
        <v>25173</v>
      </c>
      <c r="I119" s="102">
        <v>27228</v>
      </c>
      <c r="J119" s="102">
        <v>28706</v>
      </c>
      <c r="K119" s="102">
        <v>33438</v>
      </c>
      <c r="L119" s="102">
        <v>29375</v>
      </c>
      <c r="M119" s="102">
        <v>30251</v>
      </c>
      <c r="N119" s="102">
        <v>31845</v>
      </c>
      <c r="O119" s="102">
        <v>30512</v>
      </c>
      <c r="P119" s="102">
        <v>27886</v>
      </c>
      <c r="Q119" s="102">
        <v>28178</v>
      </c>
    </row>
    <row r="120" spans="1:20" ht="12.75">
      <c r="A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</row>
    <row r="121" spans="1:20" ht="12.75">
      <c r="A121" s="74" t="s">
        <v>255</v>
      </c>
      <c r="F121" s="101">
        <v>40075</v>
      </c>
      <c r="G121" s="101">
        <v>43148</v>
      </c>
      <c r="H121" s="101">
        <v>42676</v>
      </c>
      <c r="I121" s="101">
        <v>44495</v>
      </c>
      <c r="J121" s="101">
        <v>45320</v>
      </c>
      <c r="K121" s="101">
        <v>51026</v>
      </c>
      <c r="L121" s="101">
        <v>47700</v>
      </c>
      <c r="M121" s="101">
        <v>48898</v>
      </c>
      <c r="N121" s="101">
        <v>49798</v>
      </c>
      <c r="O121" s="101">
        <v>48999</v>
      </c>
      <c r="P121" s="101">
        <v>45000</v>
      </c>
      <c r="Q121" s="101">
        <v>45797</v>
      </c>
    </row>
    <row r="122" spans="1:20">
      <c r="I122" s="586"/>
      <c r="J122" s="586"/>
    </row>
    <row r="123" spans="1:20">
      <c r="A123" s="566" t="s">
        <v>256</v>
      </c>
      <c r="C123" s="535" t="s">
        <v>667</v>
      </c>
      <c r="D123" s="535"/>
      <c r="E123" s="584"/>
      <c r="F123" s="111"/>
      <c r="G123" s="111"/>
      <c r="H123" s="111"/>
      <c r="I123" s="111"/>
      <c r="J123" s="692"/>
      <c r="K123" s="693"/>
      <c r="L123" s="693"/>
      <c r="M123" s="693"/>
      <c r="N123" s="693"/>
      <c r="O123" s="693"/>
    </row>
    <row r="124" spans="1:20">
      <c r="A124" s="599"/>
      <c r="B124" s="600"/>
      <c r="C124" s="601"/>
      <c r="D124" s="601"/>
      <c r="E124" s="601"/>
      <c r="F124" s="601"/>
      <c r="G124" s="601"/>
      <c r="H124" s="601"/>
      <c r="I124" s="601"/>
      <c r="N124" s="694"/>
      <c r="O124" s="695"/>
    </row>
    <row r="125" spans="1:20" ht="63.75" customHeight="1">
      <c r="A125" s="567" t="s">
        <v>681</v>
      </c>
      <c r="C125" s="73" t="s">
        <v>628</v>
      </c>
      <c r="D125" s="73" t="s">
        <v>642</v>
      </c>
      <c r="E125" s="73" t="s">
        <v>655</v>
      </c>
      <c r="F125" s="73" t="s">
        <v>758</v>
      </c>
      <c r="G125" s="73" t="s">
        <v>786</v>
      </c>
      <c r="H125" s="73" t="s">
        <v>711</v>
      </c>
      <c r="I125" s="73" t="s">
        <v>734</v>
      </c>
      <c r="J125" s="73" t="s">
        <v>757</v>
      </c>
      <c r="K125" s="682" t="s">
        <v>785</v>
      </c>
      <c r="L125" s="682" t="s">
        <v>802</v>
      </c>
      <c r="M125" s="685" t="s">
        <v>820</v>
      </c>
      <c r="N125" s="676" t="s">
        <v>841</v>
      </c>
      <c r="O125" s="73" t="s">
        <v>874</v>
      </c>
      <c r="P125" s="73" t="s">
        <v>889</v>
      </c>
      <c r="Q125" s="682" t="s">
        <v>915</v>
      </c>
    </row>
    <row r="126" spans="1:20" s="398" customFormat="1" ht="12.75">
      <c r="A126" s="74" t="s">
        <v>257</v>
      </c>
      <c r="B126" s="537"/>
      <c r="K126" s="510"/>
      <c r="L126" s="510"/>
      <c r="M126" s="510"/>
      <c r="N126" s="510"/>
      <c r="O126" s="510"/>
      <c r="P126" s="510"/>
    </row>
    <row r="127" spans="1:20">
      <c r="A127" s="565" t="s">
        <v>398</v>
      </c>
      <c r="B127" s="536"/>
      <c r="C127" s="117">
        <v>1097</v>
      </c>
      <c r="D127" s="117">
        <v>-500</v>
      </c>
      <c r="E127" s="117">
        <v>191</v>
      </c>
      <c r="F127" s="117">
        <v>-113</v>
      </c>
      <c r="G127" s="117">
        <v>1272</v>
      </c>
      <c r="H127" s="117">
        <v>-410</v>
      </c>
      <c r="I127" s="117">
        <v>-214</v>
      </c>
      <c r="J127" s="117">
        <v>-515</v>
      </c>
      <c r="K127" s="117">
        <v>1392</v>
      </c>
      <c r="L127" s="117">
        <v>1134</v>
      </c>
      <c r="M127" s="640">
        <v>489</v>
      </c>
      <c r="N127" s="640">
        <v>-713</v>
      </c>
      <c r="O127" s="640">
        <v>732</v>
      </c>
      <c r="P127" s="640">
        <v>-751</v>
      </c>
      <c r="Q127" s="640">
        <v>750</v>
      </c>
      <c r="R127" s="117"/>
      <c r="S127" s="117"/>
      <c r="T127" s="117"/>
    </row>
    <row r="128" spans="1:20">
      <c r="A128" s="408" t="s">
        <v>697</v>
      </c>
      <c r="B128" s="536"/>
      <c r="C128" s="117">
        <v>-19</v>
      </c>
      <c r="D128" s="117">
        <v>-3</v>
      </c>
      <c r="E128" s="117">
        <v>-19</v>
      </c>
      <c r="F128" s="117">
        <v>9</v>
      </c>
      <c r="G128" s="117">
        <v>-27</v>
      </c>
      <c r="H128" s="117">
        <v>-22</v>
      </c>
      <c r="I128" s="117">
        <v>-68</v>
      </c>
      <c r="J128" s="117">
        <v>-11</v>
      </c>
      <c r="K128" s="117">
        <v>-27</v>
      </c>
      <c r="L128" s="117">
        <v>-36</v>
      </c>
      <c r="M128" s="640">
        <v>-32</v>
      </c>
      <c r="N128" s="640">
        <v>582</v>
      </c>
      <c r="O128" s="640">
        <v>-14</v>
      </c>
      <c r="P128" s="640">
        <v>-1</v>
      </c>
      <c r="Q128" s="640">
        <v>-70</v>
      </c>
      <c r="R128" s="117"/>
      <c r="S128" s="117"/>
      <c r="T128" s="117"/>
    </row>
    <row r="129" spans="1:20">
      <c r="A129" s="408" t="s">
        <v>419</v>
      </c>
      <c r="B129" s="536"/>
      <c r="C129" s="117">
        <v>521</v>
      </c>
      <c r="D129" s="117">
        <v>535</v>
      </c>
      <c r="E129" s="117">
        <f>512+1</f>
        <v>513</v>
      </c>
      <c r="F129" s="117">
        <v>532</v>
      </c>
      <c r="G129" s="117">
        <v>537</v>
      </c>
      <c r="H129" s="117">
        <v>562</v>
      </c>
      <c r="I129" s="117">
        <v>536</v>
      </c>
      <c r="J129" s="117">
        <v>581</v>
      </c>
      <c r="K129" s="117">
        <v>533</v>
      </c>
      <c r="L129" s="117">
        <v>553</v>
      </c>
      <c r="M129" s="640">
        <v>556</v>
      </c>
      <c r="N129" s="640">
        <v>584</v>
      </c>
      <c r="O129" s="640">
        <v>596</v>
      </c>
      <c r="P129" s="640">
        <v>607</v>
      </c>
      <c r="Q129" s="640">
        <v>579</v>
      </c>
      <c r="R129" s="117"/>
      <c r="S129" s="117"/>
      <c r="T129" s="117"/>
    </row>
    <row r="130" spans="1:20" ht="25.5">
      <c r="A130" s="408" t="s">
        <v>698</v>
      </c>
      <c r="B130" s="536"/>
      <c r="C130" s="394">
        <v>0</v>
      </c>
      <c r="D130" s="117">
        <v>1115</v>
      </c>
      <c r="E130" s="117">
        <v>-3</v>
      </c>
      <c r="F130" s="117">
        <v>17</v>
      </c>
      <c r="G130" s="394">
        <v>0</v>
      </c>
      <c r="H130" s="117">
        <v>85</v>
      </c>
      <c r="I130" s="394">
        <v>0</v>
      </c>
      <c r="J130" s="117">
        <v>129</v>
      </c>
      <c r="K130" s="117">
        <v>-2</v>
      </c>
      <c r="L130" s="640">
        <f>1-K130</f>
        <v>3</v>
      </c>
      <c r="M130" s="394">
        <v>-1</v>
      </c>
      <c r="N130" s="640">
        <v>26</v>
      </c>
      <c r="O130" s="640">
        <v>3</v>
      </c>
      <c r="P130" s="640">
        <v>1641</v>
      </c>
      <c r="Q130" s="640">
        <v>-4</v>
      </c>
      <c r="R130" s="117"/>
      <c r="S130" s="117"/>
      <c r="T130" s="117"/>
    </row>
    <row r="131" spans="1:20" ht="25.5">
      <c r="A131" s="408" t="s">
        <v>751</v>
      </c>
      <c r="B131" s="536"/>
      <c r="C131" s="394"/>
      <c r="D131" s="117"/>
      <c r="E131" s="117"/>
      <c r="F131" s="117">
        <v>0</v>
      </c>
      <c r="G131" s="394"/>
      <c r="H131" s="117"/>
      <c r="I131" s="117"/>
      <c r="J131" s="117">
        <v>460</v>
      </c>
      <c r="K131" s="394">
        <v>0</v>
      </c>
      <c r="L131" s="394">
        <v>0</v>
      </c>
      <c r="M131" s="394">
        <v>0</v>
      </c>
      <c r="N131" s="394">
        <v>0</v>
      </c>
      <c r="O131" s="394">
        <v>0</v>
      </c>
      <c r="P131" s="640">
        <v>0</v>
      </c>
      <c r="Q131" s="640">
        <v>0</v>
      </c>
      <c r="R131" s="117"/>
      <c r="S131" s="117"/>
      <c r="T131" s="117"/>
    </row>
    <row r="132" spans="1:20">
      <c r="A132" s="408" t="s">
        <v>699</v>
      </c>
      <c r="B132" s="536"/>
      <c r="C132" s="117">
        <v>2</v>
      </c>
      <c r="D132" s="585">
        <v>0</v>
      </c>
      <c r="E132" s="117">
        <f>-1-2</f>
        <v>-3</v>
      </c>
      <c r="F132" s="117">
        <v>0</v>
      </c>
      <c r="G132" s="117">
        <v>5</v>
      </c>
      <c r="H132" s="117">
        <v>15</v>
      </c>
      <c r="I132" s="117">
        <v>2</v>
      </c>
      <c r="J132" s="117">
        <v>-8</v>
      </c>
      <c r="K132" s="117">
        <v>-9</v>
      </c>
      <c r="L132" s="117">
        <v>-5</v>
      </c>
      <c r="M132" s="117">
        <v>-2</v>
      </c>
      <c r="N132" s="117">
        <v>-135</v>
      </c>
      <c r="O132" s="640">
        <v>-11</v>
      </c>
      <c r="P132" s="640">
        <v>-79</v>
      </c>
      <c r="Q132" s="640">
        <v>-12</v>
      </c>
      <c r="R132" s="117"/>
      <c r="S132" s="117"/>
      <c r="T132" s="117"/>
    </row>
    <row r="133" spans="1:20">
      <c r="A133" s="408" t="s">
        <v>700</v>
      </c>
      <c r="B133" s="536"/>
      <c r="C133" s="117">
        <v>38</v>
      </c>
      <c r="D133" s="117">
        <v>-117</v>
      </c>
      <c r="E133" s="117">
        <v>95</v>
      </c>
      <c r="F133" s="117">
        <v>-26</v>
      </c>
      <c r="G133" s="117">
        <v>47</v>
      </c>
      <c r="H133" s="117">
        <v>20</v>
      </c>
      <c r="I133" s="117">
        <v>148</v>
      </c>
      <c r="J133" s="117">
        <v>-113</v>
      </c>
      <c r="K133" s="117">
        <v>-33</v>
      </c>
      <c r="L133" s="117">
        <v>-204</v>
      </c>
      <c r="M133" s="117">
        <v>160</v>
      </c>
      <c r="N133" s="117">
        <v>-253</v>
      </c>
      <c r="O133" s="640">
        <v>-42</v>
      </c>
      <c r="P133" s="640">
        <v>11</v>
      </c>
      <c r="Q133" s="640">
        <v>-30</v>
      </c>
      <c r="R133" s="117"/>
      <c r="S133" s="117"/>
      <c r="T133" s="117"/>
    </row>
    <row r="134" spans="1:20">
      <c r="A134" s="408" t="s">
        <v>420</v>
      </c>
      <c r="B134" s="536"/>
      <c r="C134" s="117">
        <v>92</v>
      </c>
      <c r="D134" s="117">
        <v>88</v>
      </c>
      <c r="E134" s="117">
        <v>96</v>
      </c>
      <c r="F134" s="117">
        <v>91</v>
      </c>
      <c r="G134" s="117">
        <v>116</v>
      </c>
      <c r="H134" s="117">
        <v>142</v>
      </c>
      <c r="I134" s="117">
        <v>152</v>
      </c>
      <c r="J134" s="117">
        <v>181</v>
      </c>
      <c r="K134" s="117">
        <v>210</v>
      </c>
      <c r="L134" s="117">
        <v>227</v>
      </c>
      <c r="M134" s="117">
        <v>186</v>
      </c>
      <c r="N134" s="117">
        <v>177</v>
      </c>
      <c r="O134" s="640">
        <v>188</v>
      </c>
      <c r="P134" s="640">
        <v>155</v>
      </c>
      <c r="Q134" s="640">
        <v>160</v>
      </c>
      <c r="R134" s="117"/>
      <c r="S134" s="117"/>
      <c r="T134" s="117"/>
    </row>
    <row r="135" spans="1:20">
      <c r="A135" s="408" t="s">
        <v>421</v>
      </c>
      <c r="B135" s="536"/>
      <c r="C135" s="117">
        <v>43</v>
      </c>
      <c r="D135" s="117">
        <v>100</v>
      </c>
      <c r="E135" s="117">
        <f>-104+3</f>
        <v>-101</v>
      </c>
      <c r="F135" s="117">
        <v>-133</v>
      </c>
      <c r="G135" s="117">
        <v>-11</v>
      </c>
      <c r="H135" s="117">
        <v>-15</v>
      </c>
      <c r="I135" s="117">
        <v>-160</v>
      </c>
      <c r="J135" s="117">
        <v>385</v>
      </c>
      <c r="K135" s="677">
        <f>107+2</f>
        <v>109</v>
      </c>
      <c r="L135" s="117">
        <f>385-K135</f>
        <v>276</v>
      </c>
      <c r="M135" s="117">
        <f>-149+1</f>
        <v>-148</v>
      </c>
      <c r="N135" s="117">
        <v>405</v>
      </c>
      <c r="O135" s="640">
        <f>4+43</f>
        <v>47</v>
      </c>
      <c r="P135" s="640">
        <v>48</v>
      </c>
      <c r="Q135" s="640">
        <v>-404</v>
      </c>
      <c r="R135" s="117"/>
      <c r="S135" s="117"/>
      <c r="T135" s="117"/>
    </row>
    <row r="136" spans="1:20">
      <c r="A136" s="408" t="s">
        <v>263</v>
      </c>
      <c r="B136" s="536"/>
      <c r="C136" s="117">
        <f>87-14</f>
        <v>73</v>
      </c>
      <c r="D136" s="117">
        <f>-110-17</f>
        <v>-127</v>
      </c>
      <c r="E136" s="117">
        <f>765+51</f>
        <v>816</v>
      </c>
      <c r="F136" s="117">
        <v>447</v>
      </c>
      <c r="G136" s="117">
        <f>-1569-14</f>
        <v>-1583</v>
      </c>
      <c r="H136" s="117">
        <f>1559+20</f>
        <v>1579</v>
      </c>
      <c r="I136" s="117">
        <f>186-17</f>
        <v>169</v>
      </c>
      <c r="J136" s="117">
        <v>-651</v>
      </c>
      <c r="K136" s="117">
        <v>-2584</v>
      </c>
      <c r="L136" s="117">
        <v>834</v>
      </c>
      <c r="M136" s="117">
        <v>1741</v>
      </c>
      <c r="N136" s="117">
        <v>-1171</v>
      </c>
      <c r="O136" s="640">
        <v>698</v>
      </c>
      <c r="P136" s="640">
        <v>1378</v>
      </c>
      <c r="Q136" s="640">
        <v>-1670</v>
      </c>
      <c r="R136" s="117"/>
      <c r="S136" s="117"/>
      <c r="T136" s="117"/>
    </row>
    <row r="137" spans="1:20">
      <c r="A137" s="408" t="s">
        <v>264</v>
      </c>
      <c r="B137" s="536"/>
      <c r="C137" s="117">
        <v>-45</v>
      </c>
      <c r="D137" s="117">
        <v>-354</v>
      </c>
      <c r="E137" s="117">
        <v>99</v>
      </c>
      <c r="F137" s="117">
        <v>-92</v>
      </c>
      <c r="G137" s="117">
        <v>-364</v>
      </c>
      <c r="H137" s="117">
        <v>122</v>
      </c>
      <c r="I137" s="117">
        <v>-147</v>
      </c>
      <c r="J137" s="117">
        <v>-151</v>
      </c>
      <c r="K137" s="117">
        <v>-234</v>
      </c>
      <c r="L137" s="117">
        <v>203</v>
      </c>
      <c r="M137" s="117">
        <v>-49</v>
      </c>
      <c r="N137" s="117">
        <v>-126</v>
      </c>
      <c r="O137" s="640">
        <v>-53</v>
      </c>
      <c r="P137" s="640">
        <v>11</v>
      </c>
      <c r="Q137" s="640">
        <v>-79</v>
      </c>
      <c r="R137" s="117"/>
      <c r="S137" s="117"/>
      <c r="T137" s="117"/>
    </row>
    <row r="138" spans="1:20" s="398" customFormat="1" ht="12.75">
      <c r="A138" s="74" t="s">
        <v>393</v>
      </c>
      <c r="B138" s="537"/>
      <c r="C138" s="102">
        <f>SUM(C127:C137)</f>
        <v>1802</v>
      </c>
      <c r="D138" s="102">
        <f t="shared" ref="D138:I138" si="0">SUM(D127:D137)</f>
        <v>737</v>
      </c>
      <c r="E138" s="102">
        <f t="shared" si="0"/>
        <v>1684</v>
      </c>
      <c r="F138" s="102">
        <f t="shared" si="0"/>
        <v>732</v>
      </c>
      <c r="G138" s="102">
        <f t="shared" si="0"/>
        <v>-8</v>
      </c>
      <c r="H138" s="102">
        <f t="shared" si="0"/>
        <v>2078</v>
      </c>
      <c r="I138" s="102">
        <f t="shared" si="0"/>
        <v>418</v>
      </c>
      <c r="J138" s="102">
        <v>287</v>
      </c>
      <c r="K138" s="102">
        <v>-645</v>
      </c>
      <c r="L138" s="102">
        <v>2985</v>
      </c>
      <c r="M138" s="102">
        <v>2900</v>
      </c>
      <c r="N138" s="102">
        <v>-624</v>
      </c>
      <c r="O138" s="398">
        <v>2144</v>
      </c>
      <c r="P138" s="398">
        <v>3020</v>
      </c>
      <c r="Q138" s="398">
        <v>-780</v>
      </c>
    </row>
    <row r="139" spans="1:20">
      <c r="A139" s="265" t="s">
        <v>266</v>
      </c>
      <c r="F139" s="117"/>
      <c r="H139" s="117"/>
      <c r="K139" s="117"/>
      <c r="L139" s="117"/>
      <c r="O139" s="640"/>
      <c r="P139" s="640"/>
      <c r="Q139" s="640"/>
      <c r="R139" s="117"/>
    </row>
    <row r="140" spans="1:20" ht="26.25">
      <c r="A140" s="266" t="s">
        <v>399</v>
      </c>
      <c r="B140" s="536"/>
      <c r="C140" s="117">
        <v>-967</v>
      </c>
      <c r="D140" s="117">
        <v>-707</v>
      </c>
      <c r="E140" s="117">
        <f>-717-1</f>
        <v>-718</v>
      </c>
      <c r="F140" s="117">
        <v>-863</v>
      </c>
      <c r="G140" s="117">
        <v>-876</v>
      </c>
      <c r="H140" s="117">
        <v>-839</v>
      </c>
      <c r="I140" s="117">
        <v>-901</v>
      </c>
      <c r="J140" s="117">
        <v>-1263</v>
      </c>
      <c r="K140" s="117">
        <v>-1014</v>
      </c>
      <c r="L140" s="117">
        <v>-1086</v>
      </c>
      <c r="M140" s="117">
        <v>-1210</v>
      </c>
      <c r="N140" s="117">
        <v>-1531</v>
      </c>
      <c r="O140" s="640">
        <v>-1031</v>
      </c>
      <c r="P140" s="640">
        <v>-1075</v>
      </c>
      <c r="Q140" s="640">
        <v>-1384</v>
      </c>
      <c r="R140" s="117"/>
      <c r="S140" s="117"/>
      <c r="T140" s="117"/>
    </row>
    <row r="141" spans="1:20">
      <c r="A141" s="80" t="s">
        <v>400</v>
      </c>
      <c r="B141" s="536"/>
      <c r="C141" s="117">
        <v>-5</v>
      </c>
      <c r="D141" s="117">
        <v>-5</v>
      </c>
      <c r="E141" s="117">
        <v>-5</v>
      </c>
      <c r="F141" s="117">
        <v>-13</v>
      </c>
      <c r="G141" s="117">
        <v>-12</v>
      </c>
      <c r="H141" s="117">
        <v>-10</v>
      </c>
      <c r="I141" s="117">
        <v>-2</v>
      </c>
      <c r="J141" s="117">
        <v>-4</v>
      </c>
      <c r="K141" s="394">
        <v>0</v>
      </c>
      <c r="L141" s="117">
        <v>-6</v>
      </c>
      <c r="M141" s="117">
        <v>-9</v>
      </c>
      <c r="N141" s="117">
        <v>-1</v>
      </c>
      <c r="O141" s="394">
        <v>0</v>
      </c>
      <c r="P141" s="640">
        <v>-1</v>
      </c>
      <c r="Q141" s="640">
        <v>-4</v>
      </c>
      <c r="R141" s="117"/>
      <c r="S141" s="117"/>
      <c r="T141" s="117"/>
    </row>
    <row r="142" spans="1:20" ht="12.75">
      <c r="A142" s="80" t="s">
        <v>401</v>
      </c>
      <c r="B142" s="536"/>
      <c r="C142" s="394">
        <v>0</v>
      </c>
      <c r="D142" s="117">
        <v>-1</v>
      </c>
      <c r="E142" s="588">
        <v>0</v>
      </c>
      <c r="F142" s="588">
        <v>0</v>
      </c>
      <c r="G142" s="117">
        <v>-120</v>
      </c>
      <c r="H142" s="394">
        <v>0</v>
      </c>
      <c r="I142" s="394">
        <v>0</v>
      </c>
      <c r="J142" s="394">
        <v>0</v>
      </c>
      <c r="K142" s="117">
        <v>-1</v>
      </c>
      <c r="L142" s="394">
        <v>0</v>
      </c>
      <c r="M142" s="394">
        <v>0</v>
      </c>
      <c r="N142" s="117">
        <v>1</v>
      </c>
      <c r="O142" s="394">
        <v>0</v>
      </c>
      <c r="P142" s="394">
        <v>0</v>
      </c>
      <c r="Q142" s="394">
        <v>0</v>
      </c>
      <c r="R142" s="117"/>
      <c r="S142" s="117"/>
      <c r="T142" s="117"/>
    </row>
    <row r="143" spans="1:20" ht="12.75">
      <c r="A143" s="80" t="s">
        <v>766</v>
      </c>
      <c r="B143" s="536"/>
      <c r="C143" s="394"/>
      <c r="D143" s="117"/>
      <c r="E143" s="588"/>
      <c r="F143" s="588">
        <v>0</v>
      </c>
      <c r="G143" s="117"/>
      <c r="H143" s="394"/>
      <c r="I143" s="394"/>
      <c r="J143" s="117">
        <v>-216</v>
      </c>
      <c r="K143" s="394">
        <v>0</v>
      </c>
      <c r="L143" s="394">
        <v>0</v>
      </c>
      <c r="M143" s="394">
        <v>0</v>
      </c>
      <c r="N143" s="394">
        <v>0</v>
      </c>
      <c r="O143" s="394">
        <v>0</v>
      </c>
      <c r="P143" s="394">
        <v>0</v>
      </c>
      <c r="Q143" s="394">
        <v>0</v>
      </c>
      <c r="R143" s="117"/>
      <c r="S143" s="117"/>
      <c r="T143" s="117"/>
    </row>
    <row r="144" spans="1:20" ht="12.75">
      <c r="A144" s="80" t="s">
        <v>402</v>
      </c>
      <c r="B144" s="536"/>
      <c r="C144" s="394">
        <v>0</v>
      </c>
      <c r="D144" s="394">
        <v>0</v>
      </c>
      <c r="E144" s="394">
        <v>0</v>
      </c>
      <c r="F144" s="394">
        <v>0</v>
      </c>
      <c r="G144" s="394">
        <v>0</v>
      </c>
      <c r="H144" s="394">
        <v>0</v>
      </c>
      <c r="I144" s="117"/>
      <c r="J144" s="117">
        <v>-14</v>
      </c>
      <c r="K144" s="394">
        <v>0</v>
      </c>
      <c r="L144" s="394">
        <v>0</v>
      </c>
      <c r="M144" s="394">
        <v>0</v>
      </c>
      <c r="N144" s="394">
        <v>0</v>
      </c>
      <c r="O144" s="394">
        <v>0</v>
      </c>
      <c r="P144" s="394">
        <v>0</v>
      </c>
      <c r="Q144" s="394">
        <v>0</v>
      </c>
      <c r="R144" s="117"/>
      <c r="S144" s="117"/>
      <c r="T144" s="117"/>
    </row>
    <row r="145" spans="1:21">
      <c r="A145" s="565" t="s">
        <v>268</v>
      </c>
      <c r="B145" s="536"/>
      <c r="C145" s="78">
        <v>-972</v>
      </c>
      <c r="D145" s="513">
        <v>-713</v>
      </c>
      <c r="E145" s="78">
        <f>-722-1</f>
        <v>-723</v>
      </c>
      <c r="F145" s="78">
        <v>-876</v>
      </c>
      <c r="G145" s="78">
        <v>-1008</v>
      </c>
      <c r="H145" s="78">
        <v>-849</v>
      </c>
      <c r="I145" s="117">
        <v>-903</v>
      </c>
      <c r="J145" s="117">
        <v>-1497</v>
      </c>
      <c r="K145" s="117">
        <v>-1015</v>
      </c>
      <c r="L145" s="117">
        <v>-1092</v>
      </c>
      <c r="M145" s="117">
        <v>-1219</v>
      </c>
      <c r="N145" s="117">
        <v>-1531</v>
      </c>
      <c r="O145" s="640">
        <v>1031</v>
      </c>
      <c r="P145" s="640">
        <v>-3138</v>
      </c>
      <c r="Q145" s="640">
        <v>-1388</v>
      </c>
      <c r="R145" s="117"/>
      <c r="S145" s="117"/>
      <c r="T145" s="117"/>
      <c r="U145" s="117"/>
    </row>
    <row r="146" spans="1:21" ht="26.25">
      <c r="A146" s="252" t="s">
        <v>414</v>
      </c>
      <c r="B146" s="536"/>
      <c r="C146" s="75">
        <v>18</v>
      </c>
      <c r="D146" s="117">
        <v>5</v>
      </c>
      <c r="E146" s="75">
        <v>2</v>
      </c>
      <c r="F146" s="75">
        <v>51</v>
      </c>
      <c r="G146" s="75">
        <v>5</v>
      </c>
      <c r="H146" s="75">
        <v>9</v>
      </c>
      <c r="I146" s="117">
        <v>4</v>
      </c>
      <c r="J146" s="117">
        <v>10</v>
      </c>
      <c r="K146" s="117">
        <v>3</v>
      </c>
      <c r="L146" s="117">
        <v>8</v>
      </c>
      <c r="M146" s="117">
        <v>8</v>
      </c>
      <c r="N146" s="117">
        <v>44</v>
      </c>
      <c r="O146" s="640">
        <v>6</v>
      </c>
      <c r="P146" s="640">
        <v>8</v>
      </c>
      <c r="Q146" s="640">
        <v>7</v>
      </c>
      <c r="R146" s="117"/>
      <c r="S146" s="117"/>
      <c r="T146" s="117"/>
      <c r="U146" s="117"/>
    </row>
    <row r="147" spans="1:21">
      <c r="A147" s="80" t="s">
        <v>404</v>
      </c>
      <c r="B147" s="536"/>
      <c r="C147" s="394">
        <v>0</v>
      </c>
      <c r="D147" s="394">
        <v>0</v>
      </c>
      <c r="E147" s="75">
        <v>46</v>
      </c>
      <c r="F147" s="75">
        <v>1</v>
      </c>
      <c r="G147" s="394">
        <v>0</v>
      </c>
      <c r="H147" s="394">
        <v>0</v>
      </c>
      <c r="I147" s="117">
        <v>49</v>
      </c>
      <c r="J147" s="117">
        <v>23</v>
      </c>
      <c r="K147" s="394">
        <v>0</v>
      </c>
      <c r="L147" s="394">
        <v>0</v>
      </c>
      <c r="M147" s="117">
        <v>1</v>
      </c>
      <c r="N147" s="117">
        <v>-1</v>
      </c>
      <c r="O147" s="394">
        <v>0</v>
      </c>
      <c r="P147" s="640">
        <v>0</v>
      </c>
      <c r="Q147" s="640">
        <v>2</v>
      </c>
      <c r="R147" s="117"/>
      <c r="S147" s="117"/>
      <c r="T147" s="117"/>
      <c r="U147" s="117"/>
    </row>
    <row r="148" spans="1:21">
      <c r="A148" s="80" t="s">
        <v>405</v>
      </c>
      <c r="B148" s="536"/>
      <c r="C148" s="75">
        <v>57</v>
      </c>
      <c r="D148" s="117">
        <v>9</v>
      </c>
      <c r="E148" s="75">
        <v>-9</v>
      </c>
      <c r="F148" s="75">
        <v>1</v>
      </c>
      <c r="G148" s="394">
        <v>0</v>
      </c>
      <c r="H148" s="75">
        <v>2</v>
      </c>
      <c r="I148" s="117">
        <v>3</v>
      </c>
      <c r="J148" s="117">
        <v>176</v>
      </c>
      <c r="K148" s="117">
        <v>1</v>
      </c>
      <c r="L148" s="117">
        <v>1</v>
      </c>
      <c r="M148" s="117">
        <v>-1</v>
      </c>
      <c r="N148" s="117">
        <v>-1</v>
      </c>
      <c r="O148" s="394">
        <v>0</v>
      </c>
      <c r="P148" s="640">
        <v>0</v>
      </c>
      <c r="Q148" s="640">
        <v>1</v>
      </c>
      <c r="R148" s="117"/>
      <c r="S148" s="117"/>
      <c r="T148" s="117"/>
      <c r="U148" s="117"/>
    </row>
    <row r="149" spans="1:21">
      <c r="A149" s="565" t="s">
        <v>270</v>
      </c>
      <c r="B149" s="536"/>
      <c r="C149" s="78">
        <v>75</v>
      </c>
      <c r="D149" s="513">
        <v>14</v>
      </c>
      <c r="E149" s="78">
        <v>39</v>
      </c>
      <c r="F149" s="78">
        <v>53</v>
      </c>
      <c r="G149" s="78">
        <v>5</v>
      </c>
      <c r="H149" s="78">
        <v>11</v>
      </c>
      <c r="I149" s="78">
        <v>56</v>
      </c>
      <c r="J149" s="78">
        <v>209</v>
      </c>
      <c r="K149" s="117">
        <v>4</v>
      </c>
      <c r="L149" s="117">
        <v>9</v>
      </c>
      <c r="M149" s="117">
        <v>8</v>
      </c>
      <c r="N149" s="117">
        <v>42</v>
      </c>
      <c r="O149" s="640">
        <v>6</v>
      </c>
      <c r="P149" s="640">
        <v>8</v>
      </c>
      <c r="Q149" s="640">
        <v>10</v>
      </c>
      <c r="R149" s="117"/>
      <c r="S149" s="117"/>
      <c r="T149" s="117"/>
      <c r="U149" s="117"/>
    </row>
    <row r="150" spans="1:21" s="398" customFormat="1" ht="12.75">
      <c r="A150" s="74" t="s">
        <v>406</v>
      </c>
      <c r="B150" s="537"/>
      <c r="C150" s="101">
        <v>-897</v>
      </c>
      <c r="D150" s="101">
        <v>-699</v>
      </c>
      <c r="E150" s="101">
        <f>-682-2</f>
        <v>-684</v>
      </c>
      <c r="F150" s="101">
        <v>-823</v>
      </c>
      <c r="G150" s="101">
        <v>-1003</v>
      </c>
      <c r="H150" s="101">
        <v>-838</v>
      </c>
      <c r="I150" s="101">
        <v>-847</v>
      </c>
      <c r="J150" s="101">
        <v>-1288</v>
      </c>
      <c r="K150" s="101">
        <v>-1011</v>
      </c>
      <c r="L150" s="101">
        <v>-1083</v>
      </c>
      <c r="M150" s="101">
        <v>-1211</v>
      </c>
      <c r="N150" s="101">
        <v>-1489</v>
      </c>
      <c r="O150" s="101">
        <v>-1025</v>
      </c>
      <c r="P150" s="101">
        <v>-1068</v>
      </c>
      <c r="Q150" s="101">
        <v>-1378</v>
      </c>
    </row>
    <row r="151" spans="1:21">
      <c r="A151" s="565" t="s">
        <v>272</v>
      </c>
      <c r="H151" s="117"/>
      <c r="I151" s="117"/>
      <c r="J151" s="117"/>
      <c r="K151" s="117"/>
      <c r="L151" s="117"/>
      <c r="O151" s="394"/>
      <c r="P151" s="640"/>
      <c r="Q151" s="117"/>
      <c r="R151" s="117"/>
    </row>
    <row r="152" spans="1:21" ht="12.75">
      <c r="A152" s="408" t="s">
        <v>429</v>
      </c>
      <c r="B152" s="538"/>
      <c r="C152" s="509">
        <v>0</v>
      </c>
      <c r="D152" s="509">
        <v>0</v>
      </c>
      <c r="E152" s="509">
        <v>0</v>
      </c>
      <c r="F152" s="117">
        <v>-170</v>
      </c>
      <c r="H152" s="117"/>
      <c r="I152" s="117"/>
      <c r="J152" s="117">
        <v>-170</v>
      </c>
      <c r="K152" s="394">
        <v>0</v>
      </c>
      <c r="L152" s="394">
        <f>'Hist. dane półr. - H figures'!G152-'Hist. dane kwart. - Q figures'!K152</f>
        <v>0</v>
      </c>
      <c r="M152" s="394">
        <v>0</v>
      </c>
      <c r="N152" s="117">
        <v>-170</v>
      </c>
      <c r="O152" s="394">
        <v>0</v>
      </c>
      <c r="P152" s="394">
        <v>0</v>
      </c>
      <c r="Q152" s="394">
        <v>0</v>
      </c>
      <c r="R152" s="117"/>
    </row>
    <row r="153" spans="1:21">
      <c r="A153" s="408" t="s">
        <v>430</v>
      </c>
      <c r="B153" s="538"/>
      <c r="C153" s="117">
        <v>-736</v>
      </c>
      <c r="D153" s="117">
        <v>-1072</v>
      </c>
      <c r="E153" s="117">
        <v>-1036</v>
      </c>
      <c r="F153" s="117">
        <v>-622</v>
      </c>
      <c r="G153" s="117">
        <v>-1187</v>
      </c>
      <c r="H153" s="117">
        <v>-1922</v>
      </c>
      <c r="I153" s="117">
        <v>-686</v>
      </c>
      <c r="J153" s="117">
        <v>-2272</v>
      </c>
      <c r="K153" s="117">
        <v>-1726</v>
      </c>
      <c r="L153" s="117">
        <v>-2473</v>
      </c>
      <c r="M153" s="117">
        <v>-1237</v>
      </c>
      <c r="N153" s="117">
        <v>-1322</v>
      </c>
      <c r="O153" s="640">
        <v>-1086</v>
      </c>
      <c r="P153" s="640">
        <v>-2683</v>
      </c>
      <c r="Q153" s="117">
        <v>-1590</v>
      </c>
      <c r="R153" s="117"/>
      <c r="S153" s="117"/>
      <c r="T153" s="117"/>
      <c r="U153" s="117"/>
    </row>
    <row r="154" spans="1:21" ht="12.75">
      <c r="A154" s="408" t="s">
        <v>713</v>
      </c>
      <c r="B154" s="538"/>
      <c r="C154" s="117">
        <v>0</v>
      </c>
      <c r="D154" s="117">
        <v>0</v>
      </c>
      <c r="E154" s="117">
        <v>0</v>
      </c>
      <c r="F154" s="117">
        <v>0</v>
      </c>
      <c r="G154" s="117">
        <v>-1061</v>
      </c>
      <c r="H154" s="394">
        <v>0</v>
      </c>
      <c r="I154" s="394">
        <v>0</v>
      </c>
      <c r="J154" s="394">
        <v>0</v>
      </c>
      <c r="K154" s="394">
        <v>0</v>
      </c>
      <c r="L154" s="394">
        <v>0</v>
      </c>
      <c r="M154" s="394">
        <v>0</v>
      </c>
      <c r="N154" s="394">
        <v>0</v>
      </c>
      <c r="O154" s="394">
        <v>0</v>
      </c>
      <c r="P154" s="394">
        <v>0</v>
      </c>
      <c r="Q154" s="394">
        <v>0</v>
      </c>
      <c r="R154" s="117"/>
      <c r="S154" s="117"/>
      <c r="T154" s="117"/>
      <c r="U154" s="117"/>
    </row>
    <row r="155" spans="1:21">
      <c r="A155" s="408" t="s">
        <v>431</v>
      </c>
      <c r="B155" s="538"/>
      <c r="C155" s="117">
        <v>-22</v>
      </c>
      <c r="D155" s="117">
        <v>-69</v>
      </c>
      <c r="E155" s="117">
        <f>-75+1</f>
        <v>-74</v>
      </c>
      <c r="F155" s="117">
        <v>-178</v>
      </c>
      <c r="G155" s="117">
        <v>-32</v>
      </c>
      <c r="H155" s="117">
        <v>-82</v>
      </c>
      <c r="I155" s="117">
        <v>-136</v>
      </c>
      <c r="J155" s="117">
        <v>-250</v>
      </c>
      <c r="K155" s="117">
        <v>-79</v>
      </c>
      <c r="L155" s="117">
        <v>-235</v>
      </c>
      <c r="M155" s="117">
        <v>-138</v>
      </c>
      <c r="N155" s="117">
        <v>-245</v>
      </c>
      <c r="O155" s="640">
        <v>-106</v>
      </c>
      <c r="P155" s="640">
        <v>-132</v>
      </c>
      <c r="Q155" s="117">
        <v>-129</v>
      </c>
      <c r="R155" s="117"/>
      <c r="S155" s="117"/>
      <c r="T155" s="117"/>
      <c r="U155" s="117"/>
    </row>
    <row r="156" spans="1:21">
      <c r="A156" s="408" t="s">
        <v>701</v>
      </c>
      <c r="B156" s="538"/>
      <c r="C156" s="117">
        <v>-61</v>
      </c>
      <c r="D156" s="117">
        <v>-22</v>
      </c>
      <c r="E156" s="117">
        <v>-17</v>
      </c>
      <c r="F156" s="117">
        <v>-17</v>
      </c>
      <c r="G156" s="117">
        <v>-64</v>
      </c>
      <c r="H156" s="117">
        <v>-27</v>
      </c>
      <c r="I156" s="117">
        <v>-19</v>
      </c>
      <c r="J156" s="117">
        <v>-16</v>
      </c>
      <c r="K156" s="117">
        <v>-68</v>
      </c>
      <c r="L156" s="117">
        <v>-14</v>
      </c>
      <c r="M156" s="117">
        <v>-10</v>
      </c>
      <c r="N156" s="117">
        <v>-13</v>
      </c>
      <c r="O156" s="640">
        <v>-72</v>
      </c>
      <c r="P156" s="640">
        <v>-24</v>
      </c>
      <c r="Q156" s="117">
        <v>-14</v>
      </c>
      <c r="R156" s="117"/>
      <c r="S156" s="117"/>
      <c r="T156" s="117"/>
      <c r="U156" s="117"/>
    </row>
    <row r="157" spans="1:21">
      <c r="A157" s="408" t="s">
        <v>425</v>
      </c>
      <c r="B157" s="538"/>
      <c r="C157" s="117">
        <v>-7</v>
      </c>
      <c r="D157" s="117">
        <v>-3</v>
      </c>
      <c r="E157" s="117">
        <f>-8-1</f>
        <v>-9</v>
      </c>
      <c r="F157" s="117">
        <v>-5</v>
      </c>
      <c r="G157" s="117">
        <v>-8</v>
      </c>
      <c r="H157" s="117">
        <v>-1</v>
      </c>
      <c r="I157" s="117">
        <v>-9</v>
      </c>
      <c r="J157" s="117">
        <v>-18</v>
      </c>
      <c r="K157" s="117">
        <v>-2</v>
      </c>
      <c r="L157" s="394">
        <v>0</v>
      </c>
      <c r="M157" s="117">
        <f>1-3</f>
        <v>-2</v>
      </c>
      <c r="N157" s="117">
        <v>-7</v>
      </c>
      <c r="O157" s="640">
        <v>-1</v>
      </c>
      <c r="P157" s="640">
        <v>-6</v>
      </c>
      <c r="Q157" s="117">
        <v>-10</v>
      </c>
      <c r="R157" s="117"/>
      <c r="S157" s="117"/>
      <c r="T157" s="117"/>
      <c r="U157" s="117"/>
    </row>
    <row r="158" spans="1:21">
      <c r="A158" s="565" t="s">
        <v>268</v>
      </c>
      <c r="B158" s="538"/>
      <c r="C158" s="513">
        <v>-826</v>
      </c>
      <c r="D158" s="513">
        <v>-1166</v>
      </c>
      <c r="E158" s="513">
        <v>-1136</v>
      </c>
      <c r="F158" s="513">
        <v>-992</v>
      </c>
      <c r="G158" s="513">
        <v>-2352</v>
      </c>
      <c r="H158" s="513">
        <v>-2032</v>
      </c>
      <c r="I158" s="513">
        <v>-850</v>
      </c>
      <c r="J158" s="513">
        <v>-2726</v>
      </c>
      <c r="K158" s="117">
        <v>-1875</v>
      </c>
      <c r="L158" s="117">
        <v>-2722</v>
      </c>
      <c r="M158" s="117">
        <f>-1384-3</f>
        <v>-1387</v>
      </c>
      <c r="N158" s="117">
        <v>-1757</v>
      </c>
      <c r="O158" s="640">
        <v>-1265</v>
      </c>
      <c r="P158" s="640">
        <v>-2845</v>
      </c>
      <c r="Q158" s="117">
        <v>-1743</v>
      </c>
      <c r="R158" s="117"/>
      <c r="S158" s="117"/>
      <c r="T158" s="117"/>
      <c r="U158" s="117"/>
    </row>
    <row r="159" spans="1:21">
      <c r="A159" s="408" t="s">
        <v>433</v>
      </c>
      <c r="B159" s="538"/>
      <c r="C159" s="117">
        <v>303</v>
      </c>
      <c r="D159" s="117">
        <v>300</v>
      </c>
      <c r="E159" s="117">
        <v>100</v>
      </c>
      <c r="F159" s="117">
        <v>1300</v>
      </c>
      <c r="G159" s="117">
        <v>3796</v>
      </c>
      <c r="H159" s="117">
        <v>400</v>
      </c>
      <c r="I159" s="117">
        <v>1350</v>
      </c>
      <c r="J159" s="117">
        <v>3894</v>
      </c>
      <c r="K159" s="117">
        <v>3550</v>
      </c>
      <c r="L159" s="117">
        <v>844</v>
      </c>
      <c r="M159" s="117">
        <v>449</v>
      </c>
      <c r="N159" s="117">
        <v>3139</v>
      </c>
      <c r="O159" s="640">
        <v>172</v>
      </c>
      <c r="P159" s="640">
        <v>250</v>
      </c>
      <c r="Q159" s="117">
        <v>3960</v>
      </c>
      <c r="R159" s="117"/>
      <c r="S159" s="117"/>
      <c r="T159" s="117"/>
      <c r="U159" s="117"/>
    </row>
    <row r="160" spans="1:21">
      <c r="A160" s="408" t="s">
        <v>434</v>
      </c>
      <c r="B160" s="538"/>
      <c r="C160" s="117">
        <v>42</v>
      </c>
      <c r="D160" s="117">
        <v>14</v>
      </c>
      <c r="E160" s="117">
        <v>31</v>
      </c>
      <c r="F160" s="117">
        <v>27</v>
      </c>
      <c r="G160" s="117">
        <v>15</v>
      </c>
      <c r="H160" s="117">
        <v>5</v>
      </c>
      <c r="I160" s="117">
        <v>2</v>
      </c>
      <c r="J160" s="117">
        <v>16</v>
      </c>
      <c r="K160" s="117">
        <v>10</v>
      </c>
      <c r="L160" s="117">
        <v>3</v>
      </c>
      <c r="M160" s="117">
        <v>7</v>
      </c>
      <c r="N160" s="117">
        <v>16</v>
      </c>
      <c r="O160" s="640">
        <v>5</v>
      </c>
      <c r="P160" s="640">
        <v>36</v>
      </c>
      <c r="Q160" s="117">
        <v>17</v>
      </c>
      <c r="R160" s="117"/>
      <c r="S160" s="117"/>
      <c r="T160" s="117"/>
      <c r="U160" s="117"/>
    </row>
    <row r="161" spans="1:21">
      <c r="A161" s="408" t="s">
        <v>432</v>
      </c>
      <c r="B161" s="538"/>
      <c r="C161" s="394">
        <v>0</v>
      </c>
      <c r="D161" s="394">
        <v>0</v>
      </c>
      <c r="E161" s="394">
        <v>0</v>
      </c>
      <c r="F161" s="394">
        <v>0</v>
      </c>
      <c r="G161" s="394">
        <v>0</v>
      </c>
      <c r="H161" s="394">
        <v>0</v>
      </c>
      <c r="I161" s="394"/>
      <c r="J161" s="394">
        <v>0</v>
      </c>
      <c r="K161" s="394">
        <v>0</v>
      </c>
      <c r="L161" s="394">
        <v>0</v>
      </c>
      <c r="M161" s="394"/>
      <c r="N161" s="394">
        <v>0</v>
      </c>
      <c r="O161" s="394">
        <v>0</v>
      </c>
      <c r="P161" s="394">
        <v>0</v>
      </c>
      <c r="Q161" s="394">
        <v>0</v>
      </c>
      <c r="R161" s="117"/>
      <c r="S161" s="117"/>
      <c r="T161"/>
      <c r="U161" s="117"/>
    </row>
    <row r="162" spans="1:21" ht="12.75">
      <c r="A162" s="408" t="s">
        <v>428</v>
      </c>
      <c r="B162" s="538"/>
      <c r="C162" s="394"/>
      <c r="D162" s="394"/>
      <c r="E162" s="394"/>
      <c r="F162" s="394"/>
      <c r="G162" s="394"/>
      <c r="H162" s="394"/>
      <c r="I162" s="394"/>
      <c r="J162" s="394"/>
      <c r="K162" s="394"/>
      <c r="L162" s="394"/>
      <c r="M162" s="117">
        <v>3</v>
      </c>
      <c r="N162" s="117">
        <v>6</v>
      </c>
      <c r="O162" s="394">
        <v>0</v>
      </c>
      <c r="P162" s="394">
        <v>0</v>
      </c>
      <c r="Q162" s="117">
        <v>2</v>
      </c>
      <c r="R162" s="117"/>
      <c r="S162" s="117"/>
      <c r="T162" s="117"/>
      <c r="U162" s="117"/>
    </row>
    <row r="163" spans="1:21">
      <c r="A163" s="565" t="s">
        <v>270</v>
      </c>
      <c r="B163" s="538"/>
      <c r="C163" s="78">
        <v>345</v>
      </c>
      <c r="D163" s="78">
        <v>314</v>
      </c>
      <c r="E163" s="78">
        <v>131</v>
      </c>
      <c r="F163" s="78">
        <v>1327</v>
      </c>
      <c r="G163" s="78">
        <v>3811</v>
      </c>
      <c r="H163" s="78">
        <v>405</v>
      </c>
      <c r="I163" s="78">
        <v>1352</v>
      </c>
      <c r="J163" s="78">
        <v>3910</v>
      </c>
      <c r="K163" s="513">
        <v>3560</v>
      </c>
      <c r="L163" s="513">
        <v>847</v>
      </c>
      <c r="M163" s="513">
        <f>456+3</f>
        <v>459</v>
      </c>
      <c r="N163" s="513">
        <v>3161</v>
      </c>
      <c r="O163" s="640">
        <v>177</v>
      </c>
      <c r="P163" s="640">
        <v>286</v>
      </c>
      <c r="Q163" s="640">
        <v>3979</v>
      </c>
      <c r="R163" s="117"/>
      <c r="S163" s="117"/>
      <c r="T163" s="117"/>
      <c r="U163" s="117"/>
    </row>
    <row r="164" spans="1:21" s="398" customFormat="1" ht="12.75">
      <c r="A164" s="74" t="s">
        <v>395</v>
      </c>
      <c r="B164" s="537"/>
      <c r="C164" s="510">
        <v>-481</v>
      </c>
      <c r="D164" s="510">
        <v>-852</v>
      </c>
      <c r="E164" s="510">
        <v>-1005</v>
      </c>
      <c r="F164" s="510">
        <v>335</v>
      </c>
      <c r="G164" s="510">
        <v>1459</v>
      </c>
      <c r="H164" s="510">
        <v>-1627</v>
      </c>
      <c r="I164" s="510">
        <v>502</v>
      </c>
      <c r="J164" s="510">
        <v>1184</v>
      </c>
      <c r="K164" s="398">
        <v>1685</v>
      </c>
      <c r="L164" s="510">
        <v>-1875</v>
      </c>
      <c r="M164" s="510">
        <v>-928</v>
      </c>
      <c r="N164" s="510">
        <v>1404</v>
      </c>
      <c r="O164" s="510">
        <v>-1088</v>
      </c>
      <c r="P164" s="510">
        <v>-2559</v>
      </c>
      <c r="Q164" s="510">
        <v>2236</v>
      </c>
    </row>
    <row r="165" spans="1:21" s="398" customFormat="1" ht="25.5">
      <c r="A165" s="249" t="s">
        <v>396</v>
      </c>
      <c r="B165" s="539"/>
      <c r="C165" s="510">
        <f>C164+C150+C138</f>
        <v>424</v>
      </c>
      <c r="D165" s="510">
        <f t="shared" ref="D165:J165" si="1">D164+D150+D138</f>
        <v>-814</v>
      </c>
      <c r="E165" s="510">
        <f t="shared" si="1"/>
        <v>-5</v>
      </c>
      <c r="F165" s="510">
        <f t="shared" si="1"/>
        <v>244</v>
      </c>
      <c r="G165" s="510">
        <f t="shared" si="1"/>
        <v>448</v>
      </c>
      <c r="H165" s="510">
        <f t="shared" si="1"/>
        <v>-387</v>
      </c>
      <c r="I165" s="510">
        <f t="shared" si="1"/>
        <v>73</v>
      </c>
      <c r="J165" s="510">
        <f t="shared" si="1"/>
        <v>183</v>
      </c>
      <c r="K165" s="398">
        <v>29</v>
      </c>
      <c r="L165" s="398">
        <v>27</v>
      </c>
      <c r="M165" s="398">
        <v>761</v>
      </c>
      <c r="N165" s="510">
        <v>-709</v>
      </c>
      <c r="O165" s="510">
        <v>31</v>
      </c>
      <c r="P165" s="510">
        <v>-607</v>
      </c>
      <c r="Q165" s="510">
        <v>78</v>
      </c>
    </row>
    <row r="166" spans="1:21" ht="12.75">
      <c r="A166" s="80" t="s">
        <v>411</v>
      </c>
      <c r="B166" s="538"/>
      <c r="C166" s="75">
        <v>1</v>
      </c>
      <c r="D166" s="75">
        <v>-3</v>
      </c>
      <c r="E166" s="110">
        <v>0</v>
      </c>
      <c r="F166" s="117">
        <v>-1</v>
      </c>
      <c r="G166" s="117">
        <v>-3</v>
      </c>
      <c r="H166" s="117">
        <v>4</v>
      </c>
      <c r="I166" s="117">
        <v>14</v>
      </c>
      <c r="J166" s="117">
        <v>-39</v>
      </c>
      <c r="K166" s="110">
        <v>22</v>
      </c>
      <c r="L166" s="110">
        <v>3</v>
      </c>
      <c r="M166" s="110">
        <v>2</v>
      </c>
      <c r="N166" s="110">
        <v>-2</v>
      </c>
      <c r="O166" s="394">
        <v>0</v>
      </c>
      <c r="P166" s="110"/>
      <c r="Q166" s="394">
        <v>0</v>
      </c>
    </row>
    <row r="167" spans="1:21" ht="12.75">
      <c r="A167" s="565" t="s">
        <v>278</v>
      </c>
      <c r="B167" s="538"/>
      <c r="C167" s="603">
        <f>895-121</f>
        <v>774</v>
      </c>
      <c r="D167" s="117">
        <f>1333-135</f>
        <v>1198</v>
      </c>
      <c r="E167" s="110">
        <f>536-152</f>
        <v>384</v>
      </c>
      <c r="F167" s="110">
        <f>480-101</f>
        <v>379</v>
      </c>
      <c r="G167" s="586">
        <f>791-168</f>
        <v>623</v>
      </c>
      <c r="H167" s="586">
        <f>1253-182</f>
        <v>1071</v>
      </c>
      <c r="I167" s="586">
        <f>846-162</f>
        <v>684</v>
      </c>
      <c r="J167" s="586">
        <f>I168</f>
        <v>757</v>
      </c>
      <c r="K167" s="110">
        <v>940</v>
      </c>
      <c r="L167" s="110">
        <v>969</v>
      </c>
      <c r="M167" s="110">
        <v>996</v>
      </c>
      <c r="N167" s="110">
        <v>1757</v>
      </c>
      <c r="O167" s="110">
        <v>1048</v>
      </c>
      <c r="P167" s="110">
        <v>1079</v>
      </c>
      <c r="Q167" s="110">
        <v>472</v>
      </c>
    </row>
    <row r="168" spans="1:21" ht="12.75">
      <c r="A168" s="253" t="s">
        <v>397</v>
      </c>
      <c r="C168" s="75">
        <f>1333-135</f>
        <v>1198</v>
      </c>
      <c r="D168" s="110">
        <f>536-152</f>
        <v>384</v>
      </c>
      <c r="E168" s="110">
        <f>480-101</f>
        <v>379</v>
      </c>
      <c r="F168" s="110">
        <v>623</v>
      </c>
      <c r="G168" s="586">
        <f>1253-182</f>
        <v>1071</v>
      </c>
      <c r="H168" s="586">
        <f>846-162</f>
        <v>684</v>
      </c>
      <c r="I168" s="586">
        <f>936-179</f>
        <v>757</v>
      </c>
      <c r="J168" s="110">
        <v>940</v>
      </c>
      <c r="K168" s="110">
        <v>969</v>
      </c>
      <c r="L168" s="110">
        <v>996</v>
      </c>
      <c r="M168" s="110">
        <v>1757</v>
      </c>
      <c r="N168" s="110">
        <v>1048</v>
      </c>
      <c r="O168" s="110">
        <v>1079</v>
      </c>
      <c r="P168" s="110">
        <v>472</v>
      </c>
      <c r="Q168" s="110">
        <v>550</v>
      </c>
    </row>
    <row r="169" spans="1:21" s="399" customFormat="1" ht="12.75">
      <c r="A169" s="564" t="s">
        <v>412</v>
      </c>
      <c r="B169" s="540"/>
      <c r="C169" s="604">
        <f>330-135</f>
        <v>195</v>
      </c>
      <c r="D169" s="399">
        <f>231-152</f>
        <v>79</v>
      </c>
      <c r="E169" s="399">
        <f>199-101</f>
        <v>98</v>
      </c>
      <c r="F169" s="399">
        <v>146</v>
      </c>
      <c r="G169" s="605">
        <f>301-182</f>
        <v>119</v>
      </c>
      <c r="H169" s="605">
        <f>267-162</f>
        <v>105</v>
      </c>
      <c r="I169" s="605">
        <f>355-179</f>
        <v>176</v>
      </c>
      <c r="J169" s="399">
        <v>322</v>
      </c>
      <c r="K169" s="399">
        <v>581</v>
      </c>
      <c r="L169" s="399">
        <v>290</v>
      </c>
      <c r="M169" s="399">
        <v>183</v>
      </c>
      <c r="N169" s="399">
        <v>372</v>
      </c>
      <c r="O169" s="399">
        <v>246</v>
      </c>
      <c r="P169" s="399">
        <v>184</v>
      </c>
      <c r="Q169" s="399">
        <v>217</v>
      </c>
    </row>
    <row r="170" spans="1:21">
      <c r="H170" s="117"/>
    </row>
    <row r="171" spans="1:21">
      <c r="C171" s="117"/>
      <c r="D171" s="117"/>
      <c r="E171" s="117"/>
      <c r="F171" s="117"/>
      <c r="G171" s="10"/>
      <c r="H171" s="10"/>
      <c r="I171" s="10"/>
      <c r="J171" s="10"/>
      <c r="K171" s="10"/>
    </row>
    <row r="172" spans="1:21">
      <c r="B172" s="541"/>
      <c r="C172" s="117"/>
      <c r="D172" s="117"/>
      <c r="E172" s="117"/>
      <c r="F172" s="117"/>
      <c r="G172" s="117"/>
      <c r="H172" s="117"/>
      <c r="I172" s="117"/>
    </row>
    <row r="173" spans="1:21">
      <c r="C173" s="117"/>
      <c r="D173" s="117"/>
      <c r="E173" s="117"/>
      <c r="F173" s="117"/>
      <c r="G173" s="117"/>
      <c r="H173" s="117"/>
      <c r="I173" s="117"/>
      <c r="J173" s="117"/>
      <c r="K173" s="117"/>
      <c r="L173" s="117"/>
      <c r="M173" s="117"/>
      <c r="N173" s="117"/>
    </row>
    <row r="174" spans="1:21">
      <c r="C174" s="117"/>
      <c r="D174" s="117"/>
      <c r="E174" s="117"/>
      <c r="F174" s="117"/>
      <c r="G174" s="117"/>
      <c r="H174" s="117"/>
      <c r="I174" s="117"/>
    </row>
    <row r="175" spans="1:21">
      <c r="C175" s="589"/>
      <c r="D175" s="589"/>
      <c r="E175" s="589"/>
      <c r="F175" s="589"/>
    </row>
    <row r="176" spans="1:21">
      <c r="C176" s="117"/>
      <c r="D176" s="117"/>
      <c r="E176" s="117"/>
      <c r="F176" s="117"/>
      <c r="G176" s="117"/>
      <c r="H176" s="117"/>
      <c r="I176" s="117"/>
      <c r="J176" s="117"/>
    </row>
    <row r="177" spans="6:6">
      <c r="F177" s="589"/>
    </row>
  </sheetData>
  <mergeCells count="2">
    <mergeCell ref="J123:O123"/>
    <mergeCell ref="N124:O124"/>
  </mergeCells>
  <pageMargins left="0.70866141732283472" right="0.70866141732283472" top="0.74803149606299213" bottom="0.74803149606299213" header="0.31496062992125984" footer="0.31496062992125984"/>
  <pageSetup paperSize="8" scale="1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-0.499984740745262"/>
    <pageSetUpPr fitToPage="1"/>
  </sheetPr>
  <dimension ref="A1:BD175"/>
  <sheetViews>
    <sheetView topLeftCell="A15" workbookViewId="0">
      <selection activeCell="I32" sqref="I32"/>
    </sheetView>
  </sheetViews>
  <sheetFormatPr defaultColWidth="12.42578125" defaultRowHeight="15"/>
  <cols>
    <col min="1" max="1" width="107.7109375" style="72" customWidth="1"/>
    <col min="2" max="2" width="2.42578125" style="528" customWidth="1"/>
    <col min="3" max="3" width="15.28515625" style="72" customWidth="1"/>
    <col min="4" max="4" width="17.7109375" style="72" customWidth="1"/>
    <col min="5" max="5" width="17.28515625" style="72" customWidth="1"/>
    <col min="6" max="6" width="15.28515625" style="72" customWidth="1"/>
    <col min="7" max="7" width="12.42578125" style="72"/>
    <col min="8" max="8" width="16.140625" style="72" customWidth="1"/>
    <col min="9" max="16384" width="12.42578125" style="72"/>
  </cols>
  <sheetData>
    <row r="1" spans="1:11" ht="28.15" customHeight="1">
      <c r="A1" s="71" t="s">
        <v>413</v>
      </c>
    </row>
    <row r="2" spans="1:11">
      <c r="A2" s="89" t="s">
        <v>378</v>
      </c>
      <c r="C2" s="89" t="s">
        <v>667</v>
      </c>
      <c r="D2" s="89"/>
      <c r="E2" s="696"/>
      <c r="F2" s="697"/>
      <c r="G2" s="696"/>
      <c r="H2" s="697"/>
      <c r="I2" s="697"/>
    </row>
    <row r="3" spans="1:11" ht="89.25">
      <c r="A3" s="576" t="s">
        <v>681</v>
      </c>
      <c r="C3" s="580" t="s">
        <v>641</v>
      </c>
      <c r="D3" s="580" t="s">
        <v>754</v>
      </c>
      <c r="E3" s="580" t="s">
        <v>840</v>
      </c>
      <c r="F3" s="580" t="s">
        <v>753</v>
      </c>
      <c r="G3" s="580" t="s">
        <v>888</v>
      </c>
      <c r="H3" s="580" t="s">
        <v>839</v>
      </c>
      <c r="I3" s="580" t="s">
        <v>885</v>
      </c>
    </row>
    <row r="4" spans="1:11">
      <c r="A4" s="80"/>
    </row>
    <row r="5" spans="1:11">
      <c r="A5" s="80" t="s">
        <v>566</v>
      </c>
      <c r="B5" s="529"/>
      <c r="C5" s="105">
        <v>11866</v>
      </c>
      <c r="D5" s="105">
        <v>13298</v>
      </c>
      <c r="E5" s="105">
        <f>18124-423</f>
        <v>17701</v>
      </c>
      <c r="F5" s="105">
        <v>18610</v>
      </c>
      <c r="G5" s="105">
        <f>23282-659</f>
        <v>22623</v>
      </c>
      <c r="H5" s="105">
        <v>19375</v>
      </c>
      <c r="I5" s="105">
        <v>15284</v>
      </c>
      <c r="J5" s="105"/>
      <c r="K5" s="105"/>
    </row>
    <row r="6" spans="1:11">
      <c r="A6" s="252" t="s">
        <v>565</v>
      </c>
      <c r="B6" s="529"/>
      <c r="C6" s="105"/>
      <c r="D6" s="105">
        <v>-9</v>
      </c>
      <c r="E6" s="105"/>
      <c r="F6" s="105">
        <v>484</v>
      </c>
      <c r="G6" s="105">
        <v>4279</v>
      </c>
      <c r="H6" s="105">
        <v>3779</v>
      </c>
      <c r="I6" s="105">
        <v>2116</v>
      </c>
      <c r="J6" s="105"/>
      <c r="K6" s="105"/>
    </row>
    <row r="7" spans="1:11">
      <c r="A7" s="87" t="s">
        <v>379</v>
      </c>
      <c r="B7" s="529"/>
      <c r="C7" s="105">
        <v>-10649</v>
      </c>
      <c r="D7" s="105">
        <v>-12279</v>
      </c>
      <c r="E7" s="105">
        <f>-16369+166</f>
        <v>-16203</v>
      </c>
      <c r="F7" s="105">
        <v>-18651</v>
      </c>
      <c r="G7" s="105">
        <f>-23976+659</f>
        <v>-23317</v>
      </c>
      <c r="H7" s="105">
        <v>-21651</v>
      </c>
      <c r="I7" s="105">
        <v>-16359</v>
      </c>
      <c r="J7" s="105"/>
      <c r="K7" s="105"/>
    </row>
    <row r="8" spans="1:11">
      <c r="A8" s="80" t="s">
        <v>682</v>
      </c>
      <c r="B8" s="529"/>
      <c r="C8" s="581">
        <v>1217</v>
      </c>
      <c r="D8" s="105">
        <v>1010</v>
      </c>
      <c r="E8" s="581">
        <f>1755-257</f>
        <v>1498</v>
      </c>
      <c r="F8" s="105">
        <v>443</v>
      </c>
      <c r="G8" s="105">
        <v>3585</v>
      </c>
      <c r="H8" s="105">
        <v>1503</v>
      </c>
      <c r="I8" s="105">
        <v>1041</v>
      </c>
      <c r="J8" s="105"/>
      <c r="K8" s="105"/>
    </row>
    <row r="9" spans="1:11">
      <c r="A9" s="87" t="s">
        <v>380</v>
      </c>
      <c r="B9" s="529"/>
      <c r="C9" s="105">
        <v>-249</v>
      </c>
      <c r="D9" s="105">
        <v>-236</v>
      </c>
      <c r="E9" s="105">
        <f>-312+47</f>
        <v>-265</v>
      </c>
      <c r="F9" s="105">
        <v>-263</v>
      </c>
      <c r="G9" s="105">
        <v>-359</v>
      </c>
      <c r="H9" s="105">
        <v>-407</v>
      </c>
      <c r="I9" s="105">
        <v>-372</v>
      </c>
      <c r="J9" s="105"/>
      <c r="K9" s="105"/>
    </row>
    <row r="10" spans="1:11">
      <c r="A10" s="87" t="s">
        <v>206</v>
      </c>
      <c r="B10" s="529"/>
      <c r="C10" s="105">
        <v>-306</v>
      </c>
      <c r="D10" s="105">
        <v>-184</v>
      </c>
      <c r="E10" s="105">
        <f>-324+65</f>
        <v>-259</v>
      </c>
      <c r="F10" s="105">
        <v>-299</v>
      </c>
      <c r="G10" s="105">
        <v>-336</v>
      </c>
      <c r="H10" s="105">
        <v>-365</v>
      </c>
      <c r="I10" s="105">
        <v>-369</v>
      </c>
      <c r="J10" s="105"/>
      <c r="K10" s="105"/>
    </row>
    <row r="11" spans="1:11">
      <c r="A11" s="87" t="s">
        <v>207</v>
      </c>
      <c r="B11" s="529"/>
      <c r="C11" s="105">
        <v>47</v>
      </c>
      <c r="D11" s="105">
        <v>29</v>
      </c>
      <c r="E11" s="105">
        <v>-2</v>
      </c>
      <c r="F11" s="105">
        <v>88</v>
      </c>
      <c r="G11" s="105">
        <v>232</v>
      </c>
      <c r="H11" s="105">
        <v>28</v>
      </c>
      <c r="I11" s="105">
        <v>44</v>
      </c>
      <c r="J11" s="105"/>
      <c r="K11" s="105"/>
    </row>
    <row r="12" spans="1:11">
      <c r="A12" s="87" t="s">
        <v>392</v>
      </c>
      <c r="B12" s="529"/>
      <c r="C12" s="105">
        <v>22</v>
      </c>
      <c r="D12" s="105">
        <v>10</v>
      </c>
      <c r="E12" s="105">
        <v>49</v>
      </c>
      <c r="F12" s="105">
        <v>79</v>
      </c>
      <c r="G12" s="105">
        <v>63</v>
      </c>
      <c r="H12" s="105">
        <v>-550</v>
      </c>
      <c r="I12" s="105">
        <v>15</v>
      </c>
      <c r="J12" s="105"/>
      <c r="K12" s="105"/>
    </row>
    <row r="13" spans="1:11">
      <c r="A13" s="80" t="s">
        <v>381</v>
      </c>
      <c r="B13" s="529"/>
      <c r="C13" s="581">
        <v>731</v>
      </c>
      <c r="D13" s="105">
        <v>629</v>
      </c>
      <c r="E13" s="581">
        <f>1166-145</f>
        <v>1021</v>
      </c>
      <c r="F13" s="105">
        <v>48</v>
      </c>
      <c r="G13" s="105">
        <v>3185</v>
      </c>
      <c r="H13" s="105">
        <v>209</v>
      </c>
      <c r="I13" s="105">
        <v>359</v>
      </c>
      <c r="J13" s="105"/>
      <c r="K13" s="105"/>
    </row>
    <row r="14" spans="1:11">
      <c r="A14" s="87" t="s">
        <v>208</v>
      </c>
      <c r="B14" s="529"/>
      <c r="C14" s="105">
        <v>-186</v>
      </c>
      <c r="D14" s="105">
        <v>-179</v>
      </c>
      <c r="E14" s="105">
        <f>-256+1</f>
        <v>-255</v>
      </c>
      <c r="F14" s="105">
        <v>-336</v>
      </c>
      <c r="G14" s="105">
        <v>-438</v>
      </c>
      <c r="H14" s="105">
        <v>-359</v>
      </c>
      <c r="I14" s="105">
        <v>-342</v>
      </c>
      <c r="J14" s="105"/>
      <c r="K14" s="105"/>
    </row>
    <row r="15" spans="1:11">
      <c r="A15" s="87" t="s">
        <v>538</v>
      </c>
      <c r="B15" s="529"/>
      <c r="C15" s="72">
        <v>52</v>
      </c>
      <c r="D15" s="105">
        <v>78</v>
      </c>
      <c r="E15" s="105">
        <f>-48+7</f>
        <v>-41</v>
      </c>
      <c r="F15" s="105">
        <v>-327</v>
      </c>
      <c r="G15" s="105">
        <v>-221</v>
      </c>
      <c r="H15" s="105">
        <v>-74</v>
      </c>
      <c r="I15" s="105">
        <v>-36</v>
      </c>
      <c r="J15" s="105"/>
      <c r="K15" s="105"/>
    </row>
    <row r="16" spans="1:11">
      <c r="A16" s="80" t="s">
        <v>803</v>
      </c>
      <c r="B16" s="529"/>
      <c r="C16" s="324">
        <v>597</v>
      </c>
      <c r="D16" s="105">
        <v>528</v>
      </c>
      <c r="E16" s="581">
        <f>862-137</f>
        <v>725</v>
      </c>
      <c r="F16" s="105">
        <v>-615</v>
      </c>
      <c r="G16" s="105">
        <v>2526</v>
      </c>
      <c r="H16" s="105">
        <v>-224</v>
      </c>
      <c r="I16" s="105">
        <v>-19</v>
      </c>
      <c r="J16" s="105"/>
      <c r="K16" s="105"/>
    </row>
    <row r="17" spans="1:11">
      <c r="A17" s="87" t="s">
        <v>209</v>
      </c>
      <c r="B17" s="529"/>
      <c r="C17" s="105">
        <v>-215</v>
      </c>
      <c r="D17" s="105">
        <v>-78</v>
      </c>
      <c r="E17" s="105">
        <f>-233-57</f>
        <v>-290</v>
      </c>
      <c r="F17" s="105">
        <v>-29</v>
      </c>
      <c r="G17" s="105">
        <v>-650</v>
      </c>
      <c r="H17" s="105">
        <v>26</v>
      </c>
      <c r="I17" s="105">
        <v>-824</v>
      </c>
      <c r="J17" s="105"/>
      <c r="K17" s="105"/>
    </row>
    <row r="18" spans="1:11">
      <c r="A18" s="87"/>
      <c r="B18" s="529"/>
      <c r="C18" s="105"/>
      <c r="D18" s="105"/>
      <c r="E18" s="105"/>
      <c r="F18" s="105">
        <v>0</v>
      </c>
      <c r="G18" s="105"/>
      <c r="H18" s="105"/>
      <c r="I18" s="105"/>
      <c r="J18" s="105"/>
      <c r="K18" s="105"/>
    </row>
    <row r="19" spans="1:11">
      <c r="A19" s="577" t="s">
        <v>744</v>
      </c>
      <c r="B19" s="529"/>
      <c r="C19" s="105"/>
      <c r="D19" s="596">
        <v>832</v>
      </c>
      <c r="E19" s="596">
        <v>435</v>
      </c>
      <c r="F19" s="596">
        <v>-644</v>
      </c>
      <c r="G19" s="596">
        <v>1876</v>
      </c>
      <c r="H19" s="596">
        <v>-198</v>
      </c>
      <c r="I19" s="105">
        <v>-843</v>
      </c>
      <c r="J19" s="105"/>
      <c r="K19" s="105"/>
    </row>
    <row r="20" spans="1:11">
      <c r="A20" s="80"/>
      <c r="B20" s="529"/>
      <c r="C20" s="105"/>
      <c r="D20" s="596"/>
      <c r="E20" s="597"/>
      <c r="F20" s="597">
        <v>0</v>
      </c>
      <c r="G20" s="597"/>
      <c r="H20" s="597"/>
      <c r="I20" s="597"/>
      <c r="J20" s="105"/>
      <c r="K20" s="105"/>
    </row>
    <row r="21" spans="1:11">
      <c r="A21" s="577" t="s">
        <v>745</v>
      </c>
      <c r="B21" s="529"/>
      <c r="C21" s="105"/>
      <c r="D21" s="596">
        <v>-447</v>
      </c>
      <c r="E21" s="597">
        <v>194</v>
      </c>
      <c r="F21" s="597">
        <v>-119</v>
      </c>
      <c r="G21" s="597">
        <v>0</v>
      </c>
      <c r="H21" s="597">
        <v>0</v>
      </c>
      <c r="I21" s="597">
        <v>0</v>
      </c>
      <c r="J21" s="105"/>
      <c r="K21" s="105"/>
    </row>
    <row r="22" spans="1:11">
      <c r="A22" s="87"/>
      <c r="B22" s="529"/>
      <c r="C22" s="105"/>
      <c r="D22" s="596"/>
      <c r="E22" s="597"/>
      <c r="F22" s="597">
        <v>0</v>
      </c>
      <c r="G22" s="597"/>
      <c r="H22" s="597"/>
      <c r="I22" s="597"/>
      <c r="J22" s="105"/>
      <c r="K22" s="105"/>
    </row>
    <row r="23" spans="1:11">
      <c r="A23" s="577" t="s">
        <v>684</v>
      </c>
      <c r="B23" s="529"/>
      <c r="C23" s="582">
        <v>382</v>
      </c>
      <c r="D23" s="596">
        <v>3</v>
      </c>
      <c r="E23" s="598">
        <v>629</v>
      </c>
      <c r="F23" s="598">
        <v>-763</v>
      </c>
      <c r="G23" s="597">
        <v>1876</v>
      </c>
      <c r="H23" s="597">
        <v>-198</v>
      </c>
      <c r="I23" s="597">
        <v>-843</v>
      </c>
      <c r="J23" s="105"/>
      <c r="K23" s="105"/>
    </row>
    <row r="24" spans="1:11">
      <c r="A24" s="96"/>
      <c r="B24" s="529"/>
      <c r="D24" s="105"/>
      <c r="F24" s="105">
        <v>0</v>
      </c>
      <c r="H24" s="105"/>
      <c r="J24" s="105"/>
      <c r="K24" s="105"/>
    </row>
    <row r="25" spans="1:11">
      <c r="A25" s="87" t="s">
        <v>210</v>
      </c>
      <c r="B25" s="529"/>
      <c r="C25" s="105">
        <v>132</v>
      </c>
      <c r="D25" s="105">
        <v>323</v>
      </c>
      <c r="E25" s="105">
        <v>332</v>
      </c>
      <c r="F25" s="105">
        <v>-145</v>
      </c>
      <c r="G25" s="105">
        <v>-174</v>
      </c>
      <c r="H25" s="105">
        <v>-113</v>
      </c>
      <c r="I25" s="105">
        <v>-33</v>
      </c>
      <c r="J25" s="105"/>
      <c r="K25" s="105"/>
    </row>
    <row r="26" spans="1:11">
      <c r="A26" s="87" t="s">
        <v>211</v>
      </c>
      <c r="B26" s="529"/>
      <c r="C26" s="105">
        <v>3</v>
      </c>
      <c r="D26" s="105">
        <v>13</v>
      </c>
      <c r="E26" s="105">
        <v>7</v>
      </c>
      <c r="F26" s="105">
        <v>10</v>
      </c>
      <c r="G26" s="105">
        <v>-11</v>
      </c>
      <c r="H26" s="105">
        <v>13</v>
      </c>
      <c r="I26" s="105">
        <v>3</v>
      </c>
      <c r="J26" s="105"/>
      <c r="K26" s="105"/>
    </row>
    <row r="27" spans="1:11">
      <c r="A27" s="262" t="s">
        <v>212</v>
      </c>
      <c r="B27" s="529"/>
      <c r="C27" s="105">
        <v>-25</v>
      </c>
      <c r="D27" s="105">
        <v>-63</v>
      </c>
      <c r="E27" s="105">
        <v>-63</v>
      </c>
      <c r="F27" s="105">
        <v>27</v>
      </c>
      <c r="G27" s="105">
        <v>33</v>
      </c>
      <c r="H27" s="105">
        <v>22</v>
      </c>
      <c r="I27" s="105">
        <v>6</v>
      </c>
      <c r="J27" s="105"/>
      <c r="K27" s="105"/>
    </row>
    <row r="28" spans="1:11" ht="26.25">
      <c r="A28" s="578" t="s">
        <v>685</v>
      </c>
      <c r="B28" s="529"/>
      <c r="C28" s="581">
        <v>110</v>
      </c>
      <c r="D28" s="105">
        <v>273</v>
      </c>
      <c r="E28" s="105">
        <v>276</v>
      </c>
      <c r="F28" s="105">
        <v>-108</v>
      </c>
      <c r="G28" s="105">
        <v>-152</v>
      </c>
      <c r="H28" s="105">
        <v>-78</v>
      </c>
      <c r="I28" s="105">
        <v>-24</v>
      </c>
      <c r="J28" s="105"/>
      <c r="K28" s="105"/>
    </row>
    <row r="29" spans="1:11">
      <c r="A29" s="262" t="s">
        <v>686</v>
      </c>
      <c r="B29" s="529"/>
      <c r="C29" s="105">
        <v>45</v>
      </c>
      <c r="D29" s="105">
        <v>59</v>
      </c>
      <c r="E29" s="105">
        <f>93-14</f>
        <v>79</v>
      </c>
      <c r="F29" s="105">
        <v>-11</v>
      </c>
      <c r="G29" s="105">
        <v>-16</v>
      </c>
      <c r="H29" s="105">
        <v>-117</v>
      </c>
      <c r="I29" s="105"/>
      <c r="J29" s="105"/>
      <c r="K29" s="105"/>
    </row>
    <row r="30" spans="1:11">
      <c r="A30" s="262" t="s">
        <v>212</v>
      </c>
      <c r="B30" s="529"/>
      <c r="C30" s="105">
        <v>-8</v>
      </c>
      <c r="D30" s="105">
        <v>-10</v>
      </c>
      <c r="E30" s="105">
        <f>-18+3</f>
        <v>-15</v>
      </c>
      <c r="F30" s="105">
        <v>3</v>
      </c>
      <c r="G30" s="105">
        <v>3</v>
      </c>
      <c r="H30" s="105">
        <v>22</v>
      </c>
      <c r="I30" s="105">
        <v>37</v>
      </c>
      <c r="J30" s="105"/>
      <c r="K30" s="105"/>
    </row>
    <row r="31" spans="1:11" ht="26.25">
      <c r="A31" s="642" t="s">
        <v>831</v>
      </c>
      <c r="B31" s="529"/>
      <c r="C31" s="105"/>
      <c r="D31" s="105"/>
      <c r="E31" s="105"/>
      <c r="F31" s="105">
        <v>0</v>
      </c>
      <c r="G31" s="105"/>
      <c r="H31" s="105">
        <v>-1</v>
      </c>
      <c r="I31" s="105">
        <v>-7</v>
      </c>
      <c r="J31" s="105"/>
      <c r="K31" s="105"/>
    </row>
    <row r="32" spans="1:11" ht="26.25">
      <c r="A32" s="578" t="s">
        <v>630</v>
      </c>
      <c r="B32" s="529"/>
      <c r="C32" s="105">
        <v>37</v>
      </c>
      <c r="D32" s="105">
        <v>49</v>
      </c>
      <c r="E32" s="105">
        <f>75-11</f>
        <v>64</v>
      </c>
      <c r="F32" s="105">
        <v>-8</v>
      </c>
      <c r="G32" s="105">
        <v>-13</v>
      </c>
      <c r="H32" s="105">
        <v>-96</v>
      </c>
      <c r="I32" s="105">
        <v>30</v>
      </c>
      <c r="J32" s="105"/>
      <c r="K32" s="105"/>
    </row>
    <row r="33" spans="1:11">
      <c r="A33" s="578"/>
      <c r="B33" s="529"/>
      <c r="C33" s="105"/>
      <c r="D33" s="105"/>
      <c r="E33" s="105"/>
      <c r="F33" s="105">
        <v>0</v>
      </c>
      <c r="G33" s="105"/>
      <c r="H33" s="105">
        <v>0</v>
      </c>
      <c r="J33" s="105"/>
      <c r="K33" s="105"/>
    </row>
    <row r="34" spans="1:11" ht="26.25">
      <c r="A34" s="578" t="s">
        <v>746</v>
      </c>
      <c r="B34" s="529"/>
      <c r="C34" s="105"/>
      <c r="D34" s="105">
        <v>11</v>
      </c>
      <c r="E34" s="105">
        <v>11</v>
      </c>
      <c r="F34" s="105">
        <v>7</v>
      </c>
      <c r="G34" s="105">
        <v>0</v>
      </c>
      <c r="H34" s="105">
        <v>0</v>
      </c>
      <c r="I34" s="105">
        <v>0</v>
      </c>
      <c r="J34" s="105"/>
      <c r="K34" s="105"/>
    </row>
    <row r="35" spans="1:11">
      <c r="A35" s="252"/>
      <c r="B35" s="529"/>
      <c r="C35" s="105"/>
      <c r="D35" s="105"/>
      <c r="F35" s="105"/>
      <c r="G35" s="105"/>
      <c r="H35" s="105"/>
      <c r="J35" s="105"/>
      <c r="K35" s="105"/>
    </row>
    <row r="36" spans="1:11">
      <c r="A36" s="565" t="s">
        <v>213</v>
      </c>
      <c r="B36" s="529"/>
      <c r="C36" s="105">
        <v>147</v>
      </c>
      <c r="D36" s="105">
        <v>333</v>
      </c>
      <c r="E36" s="72">
        <v>351</v>
      </c>
      <c r="F36" s="105">
        <v>-109</v>
      </c>
      <c r="G36" s="105">
        <v>-165</v>
      </c>
      <c r="H36" s="105">
        <v>-174</v>
      </c>
      <c r="I36" s="105">
        <v>6</v>
      </c>
      <c r="J36" s="105"/>
      <c r="K36" s="105"/>
    </row>
    <row r="37" spans="1:11">
      <c r="A37" s="565" t="s">
        <v>687</v>
      </c>
      <c r="B37" s="529"/>
      <c r="C37" s="581">
        <v>529</v>
      </c>
      <c r="D37" s="581">
        <v>336</v>
      </c>
      <c r="E37" s="72">
        <v>980</v>
      </c>
      <c r="F37" s="105">
        <v>-872</v>
      </c>
      <c r="G37" s="105">
        <v>1711</v>
      </c>
      <c r="H37" s="105">
        <v>-372</v>
      </c>
      <c r="I37" s="105">
        <v>-837</v>
      </c>
      <c r="J37" s="105"/>
      <c r="K37" s="105"/>
    </row>
    <row r="38" spans="1:11">
      <c r="A38" s="80" t="s">
        <v>382</v>
      </c>
      <c r="B38" s="529"/>
      <c r="D38" s="105"/>
      <c r="F38" s="105"/>
      <c r="G38" s="105"/>
      <c r="H38" s="105"/>
      <c r="J38" s="105"/>
      <c r="K38" s="105"/>
    </row>
    <row r="39" spans="1:11">
      <c r="A39" s="87" t="s">
        <v>383</v>
      </c>
      <c r="B39" s="529"/>
      <c r="C39" s="105">
        <v>356</v>
      </c>
      <c r="D39" s="105">
        <v>-18</v>
      </c>
      <c r="E39" s="72">
        <v>627</v>
      </c>
      <c r="F39" s="105">
        <v>-761</v>
      </c>
      <c r="G39" s="105">
        <v>1873</v>
      </c>
      <c r="H39" s="105">
        <v>-200</v>
      </c>
      <c r="I39" s="105">
        <v>-845</v>
      </c>
      <c r="J39" s="105"/>
      <c r="K39" s="105"/>
    </row>
    <row r="40" spans="1:11">
      <c r="A40" s="87" t="s">
        <v>384</v>
      </c>
      <c r="B40" s="529"/>
      <c r="C40" s="105">
        <v>26</v>
      </c>
      <c r="D40" s="105">
        <v>21</v>
      </c>
      <c r="E40" s="72">
        <v>2</v>
      </c>
      <c r="F40" s="105">
        <v>-2</v>
      </c>
      <c r="G40" s="105">
        <v>3</v>
      </c>
      <c r="H40" s="105">
        <v>2</v>
      </c>
      <c r="I40" s="105">
        <v>2</v>
      </c>
      <c r="J40" s="105"/>
      <c r="K40" s="105"/>
    </row>
    <row r="41" spans="1:11">
      <c r="A41" s="80" t="s">
        <v>217</v>
      </c>
      <c r="B41" s="529"/>
      <c r="C41" s="105"/>
      <c r="D41" s="105"/>
      <c r="F41" s="105">
        <v>0</v>
      </c>
      <c r="G41" s="105"/>
      <c r="H41" s="105"/>
      <c r="I41" s="105"/>
      <c r="J41" s="105"/>
      <c r="K41" s="105"/>
    </row>
    <row r="42" spans="1:11">
      <c r="A42" s="87" t="s">
        <v>383</v>
      </c>
      <c r="B42" s="529"/>
      <c r="C42" s="105">
        <v>503</v>
      </c>
      <c r="D42" s="105">
        <v>315</v>
      </c>
      <c r="E42" s="72">
        <v>978</v>
      </c>
      <c r="F42" s="105">
        <v>-870</v>
      </c>
      <c r="G42" s="105">
        <v>1708</v>
      </c>
      <c r="H42" s="105">
        <v>-374</v>
      </c>
      <c r="I42" s="105">
        <v>-839</v>
      </c>
      <c r="J42" s="105"/>
      <c r="K42" s="105"/>
    </row>
    <row r="43" spans="1:11">
      <c r="A43" s="267" t="s">
        <v>384</v>
      </c>
      <c r="B43" s="529"/>
      <c r="C43" s="105">
        <v>26</v>
      </c>
      <c r="D43" s="105">
        <v>21</v>
      </c>
      <c r="E43" s="72">
        <v>2</v>
      </c>
      <c r="F43" s="105">
        <v>-2</v>
      </c>
      <c r="G43" s="105">
        <v>3</v>
      </c>
      <c r="H43" s="105">
        <v>2</v>
      </c>
      <c r="I43" s="105">
        <v>2</v>
      </c>
      <c r="J43" s="105"/>
      <c r="K43" s="105"/>
    </row>
    <row r="44" spans="1:11">
      <c r="A44" s="80"/>
      <c r="B44" s="529"/>
      <c r="C44" s="108"/>
      <c r="D44" s="108"/>
      <c r="E44" s="108"/>
      <c r="F44" s="108">
        <v>0</v>
      </c>
      <c r="G44" s="108"/>
      <c r="H44" s="108"/>
      <c r="I44" s="108"/>
      <c r="J44" s="105"/>
      <c r="K44" s="105"/>
    </row>
    <row r="45" spans="1:11">
      <c r="A45" s="577" t="s">
        <v>689</v>
      </c>
      <c r="B45" s="530"/>
      <c r="C45" s="109">
        <v>0.2</v>
      </c>
      <c r="D45" s="109">
        <v>-1.0000000000000009E-2</v>
      </c>
      <c r="E45" s="109">
        <v>0.35776452415354865</v>
      </c>
      <c r="F45" s="109">
        <v>-0.43422456599816672</v>
      </c>
      <c r="G45" s="109">
        <v>1.0687287938430567</v>
      </c>
      <c r="H45" s="109">
        <v>-0.1141194654397284</v>
      </c>
      <c r="I45" s="109">
        <v>-0.48215474148285259</v>
      </c>
      <c r="J45" s="105"/>
      <c r="K45" s="105"/>
    </row>
    <row r="46" spans="1:11">
      <c r="A46" s="262"/>
      <c r="B46" s="529"/>
      <c r="D46" s="105"/>
    </row>
    <row r="47" spans="1:11" ht="15.75">
      <c r="A47" s="575" t="s">
        <v>385</v>
      </c>
      <c r="C47" s="89"/>
      <c r="D47" s="89"/>
      <c r="E47" s="89"/>
      <c r="F47" s="696"/>
      <c r="G47" s="697"/>
      <c r="H47" s="697"/>
      <c r="I47" s="697"/>
    </row>
    <row r="48" spans="1:11" ht="47.25" customHeight="1">
      <c r="A48" s="576" t="s">
        <v>681</v>
      </c>
      <c r="D48" s="73" t="s">
        <v>668</v>
      </c>
      <c r="E48" s="73" t="s">
        <v>710</v>
      </c>
      <c r="F48" s="73" t="s">
        <v>749</v>
      </c>
      <c r="G48" s="73" t="s">
        <v>800</v>
      </c>
      <c r="H48" s="73" t="s">
        <v>872</v>
      </c>
      <c r="I48" s="73" t="s">
        <v>886</v>
      </c>
    </row>
    <row r="49" spans="1:9">
      <c r="A49" s="80" t="s">
        <v>219</v>
      </c>
    </row>
    <row r="50" spans="1:9">
      <c r="A50" s="80" t="s">
        <v>220</v>
      </c>
      <c r="D50" s="105"/>
    </row>
    <row r="51" spans="1:9">
      <c r="A51" s="80" t="s">
        <v>221</v>
      </c>
      <c r="D51" s="106">
        <v>29174</v>
      </c>
      <c r="E51" s="106">
        <v>29272</v>
      </c>
      <c r="F51" s="106">
        <v>29731</v>
      </c>
      <c r="G51" s="106">
        <v>30636</v>
      </c>
      <c r="H51" s="106">
        <v>31872</v>
      </c>
      <c r="I51" s="106">
        <v>31061</v>
      </c>
    </row>
    <row r="52" spans="1:9">
      <c r="A52" s="80" t="s">
        <v>536</v>
      </c>
      <c r="D52" s="106">
        <v>1946</v>
      </c>
      <c r="E52" s="106">
        <v>1999</v>
      </c>
      <c r="F52" s="106">
        <v>1996</v>
      </c>
      <c r="G52" s="106">
        <v>2025</v>
      </c>
      <c r="H52" s="106">
        <v>2164</v>
      </c>
      <c r="I52" s="106">
        <v>2364</v>
      </c>
    </row>
    <row r="53" spans="1:9">
      <c r="A53" s="80" t="s">
        <v>222</v>
      </c>
      <c r="D53" s="106">
        <v>26</v>
      </c>
      <c r="E53" s="106">
        <v>26</v>
      </c>
      <c r="F53" s="106">
        <v>26</v>
      </c>
      <c r="G53" s="106">
        <v>26</v>
      </c>
      <c r="H53" s="106">
        <v>26</v>
      </c>
      <c r="I53" s="106">
        <v>26</v>
      </c>
    </row>
    <row r="54" spans="1:9" ht="28.5">
      <c r="A54" s="123" t="s">
        <v>612</v>
      </c>
      <c r="D54" s="106">
        <v>444</v>
      </c>
      <c r="E54" s="106">
        <v>0</v>
      </c>
      <c r="F54" s="106">
        <v>55</v>
      </c>
      <c r="G54" s="106">
        <v>0</v>
      </c>
      <c r="H54" s="106">
        <v>24</v>
      </c>
      <c r="I54" s="106">
        <v>24</v>
      </c>
    </row>
    <row r="55" spans="1:9">
      <c r="A55" s="80" t="s">
        <v>223</v>
      </c>
      <c r="D55" s="106">
        <v>540</v>
      </c>
      <c r="E55" s="106">
        <v>644</v>
      </c>
      <c r="F55" s="106">
        <v>726</v>
      </c>
      <c r="G55" s="106">
        <v>709</v>
      </c>
      <c r="H55" s="106">
        <v>848</v>
      </c>
      <c r="I55" s="106">
        <v>799</v>
      </c>
    </row>
    <row r="56" spans="1:9">
      <c r="A56" s="80" t="s">
        <v>224</v>
      </c>
      <c r="D56" s="106">
        <v>597</v>
      </c>
      <c r="E56" s="106">
        <v>652</v>
      </c>
      <c r="F56" s="106">
        <v>682</v>
      </c>
      <c r="G56" s="106">
        <v>736</v>
      </c>
      <c r="H56" s="106">
        <v>169</v>
      </c>
      <c r="I56" s="106">
        <v>190</v>
      </c>
    </row>
    <row r="57" spans="1:9">
      <c r="A57" s="80" t="s">
        <v>225</v>
      </c>
      <c r="D57" s="106">
        <v>99</v>
      </c>
      <c r="E57" s="106">
        <v>199</v>
      </c>
      <c r="F57" s="106">
        <v>206</v>
      </c>
      <c r="G57" s="106">
        <v>220</v>
      </c>
      <c r="H57" s="106">
        <v>357</v>
      </c>
      <c r="I57" s="106">
        <v>448</v>
      </c>
    </row>
    <row r="58" spans="1:9">
      <c r="A58" s="80" t="s">
        <v>389</v>
      </c>
      <c r="D58" s="106">
        <v>532</v>
      </c>
      <c r="E58" s="106">
        <v>690</v>
      </c>
      <c r="F58" s="106">
        <v>390</v>
      </c>
      <c r="G58" s="106">
        <v>244</v>
      </c>
      <c r="H58" s="106">
        <v>149</v>
      </c>
      <c r="I58" s="106">
        <v>180</v>
      </c>
    </row>
    <row r="59" spans="1:9">
      <c r="A59" s="80" t="s">
        <v>226</v>
      </c>
      <c r="D59" s="106">
        <v>215</v>
      </c>
      <c r="E59" s="106">
        <v>232</v>
      </c>
      <c r="F59" s="106">
        <v>301</v>
      </c>
      <c r="G59" s="106">
        <v>239</v>
      </c>
      <c r="H59" s="106">
        <v>278</v>
      </c>
      <c r="I59" s="106">
        <v>262</v>
      </c>
    </row>
    <row r="60" spans="1:9">
      <c r="A60" s="80" t="s">
        <v>227</v>
      </c>
      <c r="D60" s="106">
        <v>159</v>
      </c>
      <c r="E60" s="106">
        <v>272</v>
      </c>
      <c r="F60" s="106">
        <v>268</v>
      </c>
      <c r="G60" s="106">
        <v>322</v>
      </c>
      <c r="H60" s="106">
        <v>707</v>
      </c>
      <c r="I60" s="106">
        <v>892</v>
      </c>
    </row>
    <row r="61" spans="1:9">
      <c r="A61" s="84" t="s">
        <v>386</v>
      </c>
      <c r="D61" s="112">
        <v>123</v>
      </c>
      <c r="E61" s="112">
        <v>1212</v>
      </c>
      <c r="F61" s="112">
        <v>672</v>
      </c>
      <c r="G61" s="112">
        <v>532</v>
      </c>
      <c r="H61" s="112">
        <v>759</v>
      </c>
      <c r="I61" s="112">
        <v>369</v>
      </c>
    </row>
    <row r="62" spans="1:9">
      <c r="A62" s="100"/>
      <c r="D62" s="106">
        <v>33855</v>
      </c>
      <c r="E62" s="106">
        <v>35198</v>
      </c>
      <c r="F62" s="106">
        <v>35053</v>
      </c>
      <c r="G62" s="106">
        <v>35689</v>
      </c>
      <c r="H62" s="106">
        <v>37353</v>
      </c>
      <c r="I62" s="106">
        <v>36615</v>
      </c>
    </row>
    <row r="63" spans="1:9">
      <c r="A63" s="80" t="s">
        <v>229</v>
      </c>
    </row>
    <row r="64" spans="1:9" ht="28.5">
      <c r="A64" s="123" t="s">
        <v>611</v>
      </c>
      <c r="D64" s="106">
        <v>157</v>
      </c>
      <c r="E64" s="106">
        <v>576</v>
      </c>
      <c r="F64" s="106">
        <v>597</v>
      </c>
      <c r="G64" s="106">
        <v>395</v>
      </c>
      <c r="H64" s="106">
        <v>702</v>
      </c>
      <c r="I64" s="106">
        <v>527</v>
      </c>
    </row>
    <row r="65" spans="1:56">
      <c r="A65" s="80" t="s">
        <v>230</v>
      </c>
      <c r="D65" s="106">
        <v>543</v>
      </c>
      <c r="E65" s="106">
        <v>577</v>
      </c>
      <c r="F65" s="106">
        <v>1118</v>
      </c>
      <c r="G65" s="106">
        <v>1638</v>
      </c>
      <c r="H65" s="106">
        <v>1483</v>
      </c>
      <c r="I65" s="106">
        <v>1184</v>
      </c>
      <c r="AO65" s="107"/>
    </row>
    <row r="66" spans="1:56" s="129" customFormat="1" ht="15" customHeight="1">
      <c r="A66" s="80" t="s">
        <v>231</v>
      </c>
      <c r="B66" s="528"/>
      <c r="C66" s="72"/>
      <c r="D66" s="106">
        <v>3322</v>
      </c>
      <c r="E66" s="106">
        <v>3519</v>
      </c>
      <c r="F66" s="106">
        <v>3819</v>
      </c>
      <c r="G66" s="106">
        <v>4741</v>
      </c>
      <c r="H66" s="106">
        <v>5341</v>
      </c>
      <c r="I66" s="106">
        <v>4041</v>
      </c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107"/>
      <c r="AZ66" s="107"/>
      <c r="BA66" s="107"/>
      <c r="BB66" s="107"/>
      <c r="BC66" s="107"/>
      <c r="BD66" s="107"/>
    </row>
    <row r="67" spans="1:56" s="130" customFormat="1">
      <c r="A67" s="80" t="s">
        <v>387</v>
      </c>
      <c r="B67" s="528"/>
      <c r="C67" s="72"/>
      <c r="D67" s="106">
        <v>415</v>
      </c>
      <c r="E67" s="106">
        <v>158</v>
      </c>
      <c r="F67" s="106">
        <v>518</v>
      </c>
      <c r="G67" s="106">
        <v>210</v>
      </c>
      <c r="H67" s="106">
        <v>105</v>
      </c>
      <c r="I67" s="106">
        <v>36</v>
      </c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107"/>
      <c r="AZ67" s="107"/>
      <c r="BA67" s="107"/>
      <c r="BB67" s="107"/>
      <c r="BC67" s="107"/>
      <c r="BD67" s="107"/>
    </row>
    <row r="68" spans="1:56" s="130" customFormat="1">
      <c r="A68" s="80" t="s">
        <v>232</v>
      </c>
      <c r="B68" s="528"/>
      <c r="C68" s="72"/>
      <c r="D68" s="105">
        <v>292</v>
      </c>
      <c r="E68" s="105">
        <v>578</v>
      </c>
      <c r="F68" s="105">
        <v>803</v>
      </c>
      <c r="G68" s="105">
        <v>443</v>
      </c>
      <c r="H68" s="105">
        <v>794</v>
      </c>
      <c r="I68" s="105">
        <v>421</v>
      </c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107"/>
      <c r="AZ68" s="107"/>
      <c r="BA68" s="107"/>
      <c r="BB68" s="107"/>
      <c r="BC68" s="107"/>
      <c r="BD68" s="107"/>
    </row>
    <row r="69" spans="1:56" s="129" customFormat="1" ht="14.65" customHeight="1">
      <c r="A69" s="80" t="s">
        <v>225</v>
      </c>
      <c r="B69" s="528"/>
      <c r="C69" s="72"/>
      <c r="D69" s="106">
        <v>0</v>
      </c>
      <c r="E69" s="106">
        <v>0</v>
      </c>
      <c r="F69" s="106">
        <v>0</v>
      </c>
      <c r="G69" s="106">
        <v>0</v>
      </c>
      <c r="H69" s="106">
        <v>0</v>
      </c>
      <c r="I69" s="106">
        <v>0</v>
      </c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107"/>
      <c r="AZ69" s="107"/>
      <c r="BA69" s="107"/>
      <c r="BB69" s="107"/>
      <c r="BC69" s="107"/>
      <c r="BD69" s="107"/>
    </row>
    <row r="70" spans="1:56" s="130" customFormat="1">
      <c r="A70" s="80" t="s">
        <v>690</v>
      </c>
      <c r="B70" s="528"/>
      <c r="C70" s="72"/>
      <c r="D70" s="106">
        <v>465</v>
      </c>
      <c r="E70" s="106">
        <v>943</v>
      </c>
      <c r="F70" s="106">
        <v>459</v>
      </c>
      <c r="G70" s="106">
        <v>345</v>
      </c>
      <c r="H70" s="106">
        <v>275</v>
      </c>
      <c r="I70" s="106">
        <v>369</v>
      </c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107"/>
      <c r="AZ70" s="107"/>
      <c r="BA70" s="107"/>
      <c r="BB70" s="107"/>
      <c r="BC70" s="107"/>
      <c r="BD70" s="107"/>
    </row>
    <row r="71" spans="1:56" s="130" customFormat="1">
      <c r="A71" s="80" t="s">
        <v>226</v>
      </c>
      <c r="B71" s="528"/>
      <c r="C71" s="72"/>
      <c r="D71" s="106">
        <v>89</v>
      </c>
      <c r="E71" s="106">
        <v>121</v>
      </c>
      <c r="F71" s="106">
        <v>478</v>
      </c>
      <c r="G71" s="106">
        <v>2451</v>
      </c>
      <c r="H71" s="106">
        <v>2449</v>
      </c>
      <c r="I71" s="106">
        <v>921</v>
      </c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107"/>
      <c r="AZ71" s="107"/>
      <c r="BA71" s="107"/>
      <c r="BB71" s="107"/>
      <c r="BC71" s="107"/>
      <c r="BD71" s="107"/>
    </row>
    <row r="72" spans="1:56">
      <c r="A72" s="118" t="s">
        <v>227</v>
      </c>
      <c r="D72" s="106">
        <v>112</v>
      </c>
      <c r="E72" s="106">
        <v>124</v>
      </c>
      <c r="F72" s="106">
        <v>790</v>
      </c>
      <c r="G72" s="106">
        <v>534</v>
      </c>
      <c r="H72" s="106">
        <v>207</v>
      </c>
      <c r="I72" s="106">
        <v>391</v>
      </c>
    </row>
    <row r="73" spans="1:56">
      <c r="A73" s="80" t="s">
        <v>233</v>
      </c>
      <c r="D73" s="106">
        <v>815</v>
      </c>
      <c r="E73" s="106">
        <v>874</v>
      </c>
      <c r="F73" s="106">
        <v>1678</v>
      </c>
      <c r="G73" s="106">
        <v>1247</v>
      </c>
      <c r="H73" s="106">
        <v>1084</v>
      </c>
      <c r="I73" s="106">
        <v>489</v>
      </c>
    </row>
    <row r="74" spans="1:56">
      <c r="A74" s="263" t="s">
        <v>609</v>
      </c>
      <c r="D74" s="106">
        <v>10</v>
      </c>
      <c r="E74" s="106">
        <v>8</v>
      </c>
      <c r="F74" s="106">
        <v>7</v>
      </c>
      <c r="G74" s="106">
        <v>7</v>
      </c>
      <c r="H74" s="106">
        <v>5</v>
      </c>
      <c r="I74" s="106">
        <v>6</v>
      </c>
    </row>
    <row r="75" spans="1:56">
      <c r="A75" s="80"/>
      <c r="D75" s="113">
        <v>6220</v>
      </c>
      <c r="E75" s="113">
        <v>7478</v>
      </c>
      <c r="F75" s="113">
        <v>10267</v>
      </c>
      <c r="G75" s="113">
        <v>12011</v>
      </c>
      <c r="H75" s="113">
        <v>12445</v>
      </c>
      <c r="I75" s="113">
        <v>8385</v>
      </c>
    </row>
    <row r="76" spans="1:56">
      <c r="A76" s="80"/>
    </row>
    <row r="77" spans="1:56">
      <c r="A77" s="74" t="s">
        <v>234</v>
      </c>
      <c r="D77" s="108">
        <v>40075</v>
      </c>
      <c r="E77" s="108">
        <v>42676</v>
      </c>
      <c r="F77" s="108">
        <v>45320</v>
      </c>
      <c r="G77" s="108">
        <v>47700</v>
      </c>
      <c r="H77" s="108">
        <v>49798</v>
      </c>
      <c r="I77" s="108">
        <v>45000</v>
      </c>
    </row>
    <row r="78" spans="1:56">
      <c r="A78" s="80"/>
      <c r="F78" s="105"/>
    </row>
    <row r="79" spans="1:56">
      <c r="A79" s="96" t="s">
        <v>235</v>
      </c>
      <c r="F79" s="105"/>
    </row>
    <row r="80" spans="1:56">
      <c r="A80" s="80" t="s">
        <v>388</v>
      </c>
      <c r="F80" s="105"/>
    </row>
    <row r="81" spans="1:9">
      <c r="A81" s="80" t="s">
        <v>237</v>
      </c>
      <c r="D81" s="106">
        <v>8763</v>
      </c>
      <c r="E81" s="106">
        <v>8763</v>
      </c>
      <c r="F81" s="106">
        <v>8763</v>
      </c>
      <c r="G81" s="106">
        <v>8763</v>
      </c>
      <c r="H81" s="106">
        <v>8763</v>
      </c>
      <c r="I81" s="106">
        <v>8763</v>
      </c>
    </row>
    <row r="82" spans="1:9">
      <c r="A82" s="80" t="s">
        <v>238</v>
      </c>
      <c r="D82" s="106">
        <v>2749</v>
      </c>
      <c r="E82" s="106">
        <v>3009</v>
      </c>
      <c r="F82" s="106">
        <v>3009</v>
      </c>
      <c r="G82" s="106">
        <v>3076</v>
      </c>
      <c r="H82" s="106">
        <v>3076</v>
      </c>
      <c r="I82" s="106">
        <v>2438</v>
      </c>
    </row>
    <row r="83" spans="1:9">
      <c r="A83" s="80" t="s">
        <v>239</v>
      </c>
      <c r="D83" s="106">
        <v>299</v>
      </c>
      <c r="E83" s="106">
        <v>568</v>
      </c>
      <c r="F83" s="106">
        <v>450</v>
      </c>
      <c r="G83" s="106">
        <v>309</v>
      </c>
      <c r="H83" s="106">
        <v>218</v>
      </c>
      <c r="I83" s="106">
        <v>191</v>
      </c>
    </row>
    <row r="84" spans="1:9">
      <c r="A84" s="80" t="s">
        <v>211</v>
      </c>
      <c r="D84" s="106">
        <v>43</v>
      </c>
      <c r="E84" s="106">
        <v>50</v>
      </c>
      <c r="F84" s="106">
        <v>60</v>
      </c>
      <c r="G84" s="106">
        <v>49</v>
      </c>
      <c r="H84" s="106">
        <v>62</v>
      </c>
      <c r="I84" s="106">
        <v>65</v>
      </c>
    </row>
    <row r="85" spans="1:9">
      <c r="A85" s="81" t="s">
        <v>417</v>
      </c>
      <c r="D85" s="106">
        <v>4637</v>
      </c>
      <c r="E85" s="106">
        <v>5081</v>
      </c>
      <c r="F85" s="106">
        <v>4299</v>
      </c>
      <c r="G85" s="106">
        <v>6092</v>
      </c>
      <c r="H85" s="106">
        <v>5796</v>
      </c>
      <c r="I85" s="106">
        <v>5619</v>
      </c>
    </row>
    <row r="86" spans="1:9">
      <c r="A86" s="80"/>
      <c r="D86" s="113">
        <v>16491</v>
      </c>
      <c r="E86" s="113">
        <v>17471</v>
      </c>
      <c r="F86" s="113">
        <v>16581</v>
      </c>
      <c r="G86" s="113">
        <v>18289</v>
      </c>
      <c r="H86" s="113">
        <v>17915</v>
      </c>
      <c r="I86" s="113">
        <v>17076</v>
      </c>
    </row>
    <row r="87" spans="1:9">
      <c r="A87" s="80"/>
    </row>
    <row r="88" spans="1:9">
      <c r="A88" s="80" t="s">
        <v>241</v>
      </c>
      <c r="D88" s="105">
        <v>33</v>
      </c>
      <c r="E88" s="72">
        <v>32</v>
      </c>
      <c r="F88" s="72">
        <v>33</v>
      </c>
      <c r="G88" s="72">
        <v>36</v>
      </c>
      <c r="H88" s="72">
        <v>38</v>
      </c>
      <c r="I88" s="72">
        <v>38</v>
      </c>
    </row>
    <row r="89" spans="1:9">
      <c r="A89" s="80"/>
    </row>
    <row r="90" spans="1:9">
      <c r="A90" s="83" t="s">
        <v>242</v>
      </c>
      <c r="D90" s="108">
        <v>16524</v>
      </c>
      <c r="E90" s="108">
        <v>17503</v>
      </c>
      <c r="F90" s="108">
        <v>16614</v>
      </c>
      <c r="G90" s="108">
        <v>18325</v>
      </c>
      <c r="H90" s="108">
        <v>17953</v>
      </c>
      <c r="I90" s="108">
        <v>17114</v>
      </c>
    </row>
    <row r="91" spans="1:9">
      <c r="A91" s="80"/>
      <c r="F91" s="105"/>
    </row>
    <row r="92" spans="1:9">
      <c r="A92" s="96" t="s">
        <v>243</v>
      </c>
      <c r="F92" s="105"/>
    </row>
    <row r="93" spans="1:9">
      <c r="A93" s="80" t="s">
        <v>691</v>
      </c>
      <c r="D93" s="405">
        <v>10947</v>
      </c>
      <c r="E93" s="405">
        <v>12252</v>
      </c>
      <c r="F93" s="405">
        <v>15959</v>
      </c>
      <c r="G93" s="405">
        <v>15206</v>
      </c>
      <c r="H93" s="405">
        <v>15317</v>
      </c>
      <c r="I93" s="72">
        <v>12407</v>
      </c>
    </row>
    <row r="94" spans="1:9">
      <c r="A94" s="80" t="s">
        <v>245</v>
      </c>
      <c r="D94" s="92">
        <v>789</v>
      </c>
      <c r="E94" s="92">
        <v>662</v>
      </c>
      <c r="F94" s="92">
        <v>494</v>
      </c>
      <c r="G94" s="92">
        <v>547</v>
      </c>
      <c r="H94" s="92">
        <v>650</v>
      </c>
      <c r="I94" s="72">
        <v>639</v>
      </c>
    </row>
    <row r="95" spans="1:9" ht="26.25">
      <c r="A95" s="252" t="s">
        <v>692</v>
      </c>
      <c r="D95" s="405">
        <v>436</v>
      </c>
      <c r="E95" s="405">
        <v>290</v>
      </c>
      <c r="F95" s="405">
        <v>157</v>
      </c>
      <c r="G95" s="405">
        <v>161</v>
      </c>
      <c r="H95" s="405">
        <v>209</v>
      </c>
      <c r="I95" s="72">
        <v>206</v>
      </c>
    </row>
    <row r="96" spans="1:9">
      <c r="A96" s="80" t="s">
        <v>246</v>
      </c>
      <c r="D96" s="92">
        <v>568</v>
      </c>
      <c r="E96" s="92">
        <v>570</v>
      </c>
      <c r="F96" s="92">
        <v>571</v>
      </c>
      <c r="G96" s="92">
        <v>584</v>
      </c>
      <c r="H96" s="92">
        <v>607</v>
      </c>
      <c r="I96" s="72">
        <v>599</v>
      </c>
    </row>
    <row r="97" spans="1:9">
      <c r="A97" s="80" t="s">
        <v>390</v>
      </c>
      <c r="D97" s="92">
        <v>741</v>
      </c>
      <c r="E97" s="92">
        <v>1564</v>
      </c>
      <c r="F97" s="92">
        <v>1200</v>
      </c>
      <c r="G97" s="92">
        <v>1286</v>
      </c>
      <c r="H97" s="92">
        <v>1212</v>
      </c>
      <c r="I97" s="72">
        <v>1543</v>
      </c>
    </row>
    <row r="98" spans="1:9">
      <c r="A98" s="80" t="s">
        <v>389</v>
      </c>
      <c r="D98" s="92">
        <v>116</v>
      </c>
      <c r="E98" s="92">
        <v>83</v>
      </c>
      <c r="F98" s="92">
        <v>10</v>
      </c>
      <c r="G98" s="92">
        <v>62</v>
      </c>
      <c r="H98" s="92">
        <v>169</v>
      </c>
      <c r="I98" s="72">
        <v>177</v>
      </c>
    </row>
    <row r="99" spans="1:9">
      <c r="A99" s="80" t="s">
        <v>249</v>
      </c>
      <c r="D99" s="92">
        <v>33</v>
      </c>
      <c r="E99" s="92">
        <v>99</v>
      </c>
      <c r="F99" s="92">
        <v>119</v>
      </c>
      <c r="G99" s="92">
        <v>123</v>
      </c>
      <c r="H99" s="92">
        <v>184</v>
      </c>
      <c r="I99" s="72">
        <f>138+46</f>
        <v>184</v>
      </c>
    </row>
    <row r="100" spans="1:9">
      <c r="A100" s="84" t="s">
        <v>253</v>
      </c>
      <c r="D100" s="85">
        <v>4</v>
      </c>
      <c r="E100" s="85">
        <v>1</v>
      </c>
      <c r="F100" s="85">
        <v>1</v>
      </c>
      <c r="G100" s="85">
        <v>1</v>
      </c>
      <c r="H100" s="85">
        <v>1</v>
      </c>
      <c r="I100" s="85">
        <v>1</v>
      </c>
    </row>
    <row r="101" spans="1:9">
      <c r="A101" s="100"/>
      <c r="D101" s="92">
        <v>13634</v>
      </c>
      <c r="E101" s="92">
        <v>15521</v>
      </c>
      <c r="F101" s="92">
        <v>18511</v>
      </c>
      <c r="G101" s="92">
        <v>17970</v>
      </c>
      <c r="H101" s="92">
        <v>18349</v>
      </c>
      <c r="I101" s="92">
        <v>15756</v>
      </c>
    </row>
    <row r="102" spans="1:9">
      <c r="A102" s="80" t="s">
        <v>250</v>
      </c>
    </row>
    <row r="103" spans="1:9" ht="15.75">
      <c r="A103" s="80" t="s">
        <v>691</v>
      </c>
      <c r="D103" s="568">
        <v>2143</v>
      </c>
      <c r="E103" s="568">
        <v>2161</v>
      </c>
      <c r="F103" s="568">
        <v>528</v>
      </c>
      <c r="G103" s="568">
        <v>1357</v>
      </c>
      <c r="H103" s="568">
        <v>2098</v>
      </c>
      <c r="I103" s="568">
        <v>1918</v>
      </c>
    </row>
    <row r="104" spans="1:9" ht="15.75">
      <c r="A104" s="80" t="s">
        <v>248</v>
      </c>
      <c r="D104" s="568">
        <v>1242</v>
      </c>
      <c r="E104" s="568">
        <v>1359</v>
      </c>
      <c r="F104" s="568">
        <v>2246</v>
      </c>
      <c r="G104" s="568">
        <v>1687</v>
      </c>
      <c r="H104" s="568">
        <v>2088</v>
      </c>
      <c r="I104" s="568">
        <v>1446</v>
      </c>
    </row>
    <row r="105" spans="1:9" ht="15.75">
      <c r="A105" s="579" t="s">
        <v>693</v>
      </c>
      <c r="D105" s="114">
        <v>1061</v>
      </c>
      <c r="E105" s="114">
        <v>0</v>
      </c>
      <c r="F105" s="114">
        <v>0</v>
      </c>
      <c r="G105" s="114">
        <v>0</v>
      </c>
      <c r="H105" s="114">
        <v>0</v>
      </c>
      <c r="I105" s="114">
        <v>0</v>
      </c>
    </row>
    <row r="106" spans="1:9" ht="15.75">
      <c r="A106" s="80" t="s">
        <v>251</v>
      </c>
      <c r="D106" s="114">
        <v>616</v>
      </c>
      <c r="E106" s="114">
        <v>399</v>
      </c>
      <c r="F106" s="114">
        <v>707</v>
      </c>
      <c r="G106" s="114">
        <v>448</v>
      </c>
      <c r="H106" s="114">
        <v>555</v>
      </c>
      <c r="I106" s="114">
        <v>529</v>
      </c>
    </row>
    <row r="107" spans="1:9" ht="15.75">
      <c r="A107" s="80" t="s">
        <v>245</v>
      </c>
      <c r="D107" s="114">
        <v>104</v>
      </c>
      <c r="E107" s="114">
        <v>116</v>
      </c>
      <c r="F107" s="114">
        <v>92</v>
      </c>
      <c r="G107" s="114">
        <v>72</v>
      </c>
      <c r="H107" s="114">
        <v>104</v>
      </c>
      <c r="I107" s="114">
        <v>78</v>
      </c>
    </row>
    <row r="108" spans="1:9" ht="26.25">
      <c r="A108" s="252" t="s">
        <v>694</v>
      </c>
      <c r="D108" s="114">
        <v>1890</v>
      </c>
      <c r="E108" s="114">
        <v>1697</v>
      </c>
      <c r="F108" s="114">
        <v>3692</v>
      </c>
      <c r="G108" s="114">
        <v>1946</v>
      </c>
      <c r="H108" s="114">
        <v>3744</v>
      </c>
      <c r="I108" s="114">
        <v>4432</v>
      </c>
    </row>
    <row r="109" spans="1:9" ht="15.75">
      <c r="A109" s="80" t="s">
        <v>252</v>
      </c>
      <c r="D109" s="114">
        <v>619</v>
      </c>
      <c r="E109" s="114">
        <v>1219</v>
      </c>
      <c r="F109" s="114">
        <v>387</v>
      </c>
      <c r="G109" s="114">
        <v>299</v>
      </c>
      <c r="H109" s="114">
        <v>843</v>
      </c>
      <c r="I109" s="114">
        <v>300</v>
      </c>
    </row>
    <row r="110" spans="1:9" ht="15.75">
      <c r="A110" s="80" t="s">
        <v>246</v>
      </c>
      <c r="D110" s="114">
        <v>177</v>
      </c>
      <c r="E110" s="114">
        <v>335</v>
      </c>
      <c r="F110" s="114">
        <v>513</v>
      </c>
      <c r="G110" s="114">
        <v>2674</v>
      </c>
      <c r="H110" s="114">
        <v>351</v>
      </c>
      <c r="I110" s="114">
        <v>349</v>
      </c>
    </row>
    <row r="111" spans="1:9" ht="15.75">
      <c r="A111" s="80" t="s">
        <v>391</v>
      </c>
      <c r="D111" s="114">
        <v>4</v>
      </c>
      <c r="E111" s="114">
        <v>75</v>
      </c>
      <c r="F111" s="114">
        <v>17</v>
      </c>
      <c r="G111" s="114">
        <v>68</v>
      </c>
      <c r="H111" s="114">
        <v>19</v>
      </c>
      <c r="I111" s="114">
        <v>11</v>
      </c>
    </row>
    <row r="112" spans="1:9" ht="15.75">
      <c r="A112" s="80" t="s">
        <v>695</v>
      </c>
      <c r="D112" s="114">
        <v>629</v>
      </c>
      <c r="E112" s="114">
        <v>330</v>
      </c>
      <c r="F112" s="114">
        <v>324</v>
      </c>
      <c r="G112" s="114">
        <v>683</v>
      </c>
      <c r="H112" s="114">
        <v>1030</v>
      </c>
      <c r="I112" s="114">
        <v>610</v>
      </c>
    </row>
    <row r="113" spans="1:11" ht="15.75">
      <c r="A113" s="80" t="s">
        <v>389</v>
      </c>
      <c r="D113" s="114">
        <v>379</v>
      </c>
      <c r="E113" s="114">
        <v>648</v>
      </c>
      <c r="F113" s="114">
        <v>331</v>
      </c>
      <c r="G113" s="114">
        <v>586</v>
      </c>
      <c r="H113" s="114">
        <v>644</v>
      </c>
      <c r="I113" s="114">
        <v>862</v>
      </c>
    </row>
    <row r="114" spans="1:11" ht="15.75">
      <c r="A114" s="80" t="s">
        <v>249</v>
      </c>
      <c r="D114" s="114">
        <v>483</v>
      </c>
      <c r="E114" s="114">
        <v>605</v>
      </c>
      <c r="F114" s="114">
        <v>514</v>
      </c>
      <c r="G114" s="114">
        <v>435</v>
      </c>
      <c r="H114" s="114">
        <v>640</v>
      </c>
      <c r="I114" s="114">
        <v>335</v>
      </c>
    </row>
    <row r="115" spans="1:11" ht="15.75">
      <c r="A115" s="118" t="s">
        <v>253</v>
      </c>
      <c r="D115" s="114">
        <v>570</v>
      </c>
      <c r="E115" s="114">
        <v>708</v>
      </c>
      <c r="F115" s="114">
        <v>843</v>
      </c>
      <c r="G115" s="114">
        <v>1149</v>
      </c>
      <c r="H115" s="114">
        <v>1379</v>
      </c>
      <c r="I115" s="114">
        <v>1259</v>
      </c>
    </row>
    <row r="116" spans="1:11" ht="26.25">
      <c r="A116" s="263" t="s">
        <v>696</v>
      </c>
      <c r="D116" s="115">
        <v>0</v>
      </c>
      <c r="E116" s="115">
        <v>0</v>
      </c>
      <c r="F116" s="115">
        <v>1</v>
      </c>
      <c r="G116" s="115">
        <v>1</v>
      </c>
      <c r="H116" s="115">
        <v>1</v>
      </c>
      <c r="I116" s="115">
        <v>1</v>
      </c>
    </row>
    <row r="117" spans="1:11">
      <c r="A117" s="80"/>
      <c r="D117" s="106">
        <v>9917</v>
      </c>
      <c r="E117" s="106">
        <v>9652</v>
      </c>
      <c r="F117" s="106">
        <v>10195</v>
      </c>
      <c r="G117" s="106">
        <v>11405</v>
      </c>
      <c r="H117" s="106">
        <v>13496</v>
      </c>
      <c r="I117" s="106">
        <v>12130</v>
      </c>
    </row>
    <row r="118" spans="1:11">
      <c r="A118" s="80"/>
    </row>
    <row r="119" spans="1:11">
      <c r="A119" s="83" t="s">
        <v>254</v>
      </c>
      <c r="D119" s="113">
        <v>23551</v>
      </c>
      <c r="E119" s="113">
        <v>25173</v>
      </c>
      <c r="F119" s="113">
        <v>28706</v>
      </c>
      <c r="G119" s="113">
        <v>29375</v>
      </c>
      <c r="H119" s="113">
        <v>31845</v>
      </c>
      <c r="I119" s="113">
        <v>27886</v>
      </c>
    </row>
    <row r="120" spans="1:11">
      <c r="A120" s="80"/>
      <c r="D120" s="113"/>
      <c r="E120" s="113"/>
      <c r="F120" s="113"/>
      <c r="G120" s="113"/>
      <c r="H120" s="113"/>
      <c r="I120" s="113"/>
    </row>
    <row r="121" spans="1:11">
      <c r="A121" s="74" t="s">
        <v>255</v>
      </c>
      <c r="D121" s="116">
        <v>40075</v>
      </c>
      <c r="E121" s="116">
        <v>42676</v>
      </c>
      <c r="F121" s="116">
        <v>45320</v>
      </c>
      <c r="G121" s="116">
        <v>47700</v>
      </c>
      <c r="H121" s="116">
        <v>49798</v>
      </c>
      <c r="I121" s="116">
        <v>45000</v>
      </c>
    </row>
    <row r="123" spans="1:11" ht="15.75">
      <c r="A123" s="575" t="s">
        <v>256</v>
      </c>
      <c r="C123" s="89"/>
      <c r="D123" s="89"/>
      <c r="E123" s="89"/>
      <c r="F123" s="89"/>
      <c r="G123" s="698"/>
      <c r="H123" s="693"/>
      <c r="I123" s="693"/>
    </row>
    <row r="124" spans="1:11">
      <c r="G124" s="639"/>
    </row>
    <row r="125" spans="1:11" s="131" customFormat="1" ht="70.5" customHeight="1">
      <c r="A125" s="573" t="s">
        <v>681</v>
      </c>
      <c r="B125" s="531"/>
      <c r="C125" s="73" t="s">
        <v>641</v>
      </c>
      <c r="D125" s="580" t="s">
        <v>754</v>
      </c>
      <c r="E125" s="73" t="s">
        <v>709</v>
      </c>
      <c r="F125" s="73" t="s">
        <v>753</v>
      </c>
      <c r="G125" s="73" t="s">
        <v>801</v>
      </c>
      <c r="H125" s="73" t="s">
        <v>839</v>
      </c>
      <c r="I125" s="73" t="s">
        <v>887</v>
      </c>
    </row>
    <row r="126" spans="1:11">
      <c r="A126" s="565" t="s">
        <v>257</v>
      </c>
    </row>
    <row r="127" spans="1:11">
      <c r="A127" s="571" t="s">
        <v>398</v>
      </c>
      <c r="B127" s="532"/>
      <c r="C127" s="92">
        <v>597</v>
      </c>
      <c r="D127" s="92">
        <v>78</v>
      </c>
      <c r="E127" s="92">
        <v>862</v>
      </c>
      <c r="F127" s="92">
        <v>-729</v>
      </c>
      <c r="G127" s="92">
        <v>2526</v>
      </c>
      <c r="H127" s="92">
        <v>-224</v>
      </c>
      <c r="I127" s="92">
        <v>-19</v>
      </c>
      <c r="J127" s="640"/>
      <c r="K127" s="640"/>
    </row>
    <row r="128" spans="1:11">
      <c r="A128" s="408" t="s">
        <v>697</v>
      </c>
      <c r="B128" s="532"/>
      <c r="C128" s="92">
        <v>-22</v>
      </c>
      <c r="D128" s="92">
        <v>-10</v>
      </c>
      <c r="E128" s="92">
        <v>-49</v>
      </c>
      <c r="F128" s="92">
        <v>-79</v>
      </c>
      <c r="G128" s="92">
        <v>-63</v>
      </c>
      <c r="H128" s="92">
        <v>550</v>
      </c>
      <c r="I128" s="92">
        <v>-15</v>
      </c>
      <c r="J128" s="640"/>
      <c r="K128" s="640"/>
    </row>
    <row r="129" spans="1:11">
      <c r="A129" s="408" t="s">
        <v>419</v>
      </c>
      <c r="B129" s="532"/>
      <c r="C129" s="92">
        <v>1056</v>
      </c>
      <c r="D129" s="92">
        <v>1045</v>
      </c>
      <c r="E129" s="92">
        <v>1099</v>
      </c>
      <c r="F129" s="92">
        <v>1117</v>
      </c>
      <c r="G129" s="92">
        <v>1086</v>
      </c>
      <c r="H129" s="92">
        <v>1140</v>
      </c>
      <c r="I129" s="92">
        <v>1203</v>
      </c>
      <c r="J129" s="640"/>
      <c r="K129" s="640"/>
    </row>
    <row r="130" spans="1:11">
      <c r="A130" s="408" t="s">
        <v>698</v>
      </c>
      <c r="B130" s="532"/>
      <c r="C130" s="92">
        <v>1115</v>
      </c>
      <c r="D130" s="92">
        <v>14</v>
      </c>
      <c r="E130" s="92">
        <v>85</v>
      </c>
      <c r="F130" s="92">
        <v>129</v>
      </c>
      <c r="G130" s="72">
        <v>1</v>
      </c>
      <c r="H130" s="72">
        <v>26</v>
      </c>
      <c r="I130" s="72">
        <v>1644</v>
      </c>
      <c r="J130" s="640"/>
      <c r="K130" s="640"/>
    </row>
    <row r="131" spans="1:11" ht="21.75" customHeight="1">
      <c r="A131" s="408" t="s">
        <v>751</v>
      </c>
      <c r="B131" s="532"/>
      <c r="C131" s="92"/>
      <c r="D131" s="92">
        <v>0</v>
      </c>
      <c r="E131" s="92"/>
      <c r="F131" s="92">
        <v>460</v>
      </c>
      <c r="G131" s="72">
        <v>0</v>
      </c>
      <c r="H131" s="72">
        <v>0</v>
      </c>
      <c r="I131" s="72">
        <v>0</v>
      </c>
      <c r="J131" s="640"/>
      <c r="K131" s="640"/>
    </row>
    <row r="132" spans="1:11">
      <c r="A132" s="408" t="s">
        <v>699</v>
      </c>
      <c r="B132" s="532"/>
      <c r="C132" s="92">
        <v>2</v>
      </c>
      <c r="D132" s="92">
        <v>-3</v>
      </c>
      <c r="E132" s="92">
        <v>20</v>
      </c>
      <c r="F132" s="92">
        <v>-6</v>
      </c>
      <c r="G132" s="92">
        <v>-14</v>
      </c>
      <c r="H132" s="92">
        <v>-137</v>
      </c>
      <c r="I132" s="92">
        <v>-90</v>
      </c>
      <c r="J132" s="640"/>
      <c r="K132" s="640"/>
    </row>
    <row r="133" spans="1:11">
      <c r="A133" s="408" t="s">
        <v>700</v>
      </c>
      <c r="B133" s="532"/>
      <c r="C133" s="92">
        <v>-79</v>
      </c>
      <c r="D133" s="92">
        <v>69</v>
      </c>
      <c r="E133" s="92">
        <v>67</v>
      </c>
      <c r="F133" s="92">
        <v>35</v>
      </c>
      <c r="G133" s="92">
        <v>-237</v>
      </c>
      <c r="H133" s="92">
        <v>-93</v>
      </c>
      <c r="I133" s="92">
        <v>-31</v>
      </c>
      <c r="J133" s="640"/>
      <c r="K133" s="640"/>
    </row>
    <row r="134" spans="1:11">
      <c r="A134" s="408" t="s">
        <v>420</v>
      </c>
      <c r="B134" s="532"/>
      <c r="C134" s="92">
        <v>180</v>
      </c>
      <c r="D134" s="92">
        <v>187</v>
      </c>
      <c r="E134" s="92">
        <v>258</v>
      </c>
      <c r="F134" s="92">
        <v>333</v>
      </c>
      <c r="G134" s="92">
        <v>437</v>
      </c>
      <c r="H134" s="92">
        <v>363</v>
      </c>
      <c r="I134" s="92">
        <v>343</v>
      </c>
      <c r="J134" s="640"/>
      <c r="K134" s="640"/>
    </row>
    <row r="135" spans="1:11">
      <c r="A135" s="408" t="s">
        <v>421</v>
      </c>
      <c r="B135" s="532"/>
      <c r="C135" s="92">
        <v>143</v>
      </c>
      <c r="D135" s="92">
        <v>-234</v>
      </c>
      <c r="E135" s="92">
        <v>-26</v>
      </c>
      <c r="F135" s="92">
        <v>225</v>
      </c>
      <c r="G135" s="92">
        <f>386-1</f>
        <v>385</v>
      </c>
      <c r="H135" s="92">
        <v>256</v>
      </c>
      <c r="I135" s="92">
        <f>31+64</f>
        <v>95</v>
      </c>
      <c r="J135" s="640"/>
      <c r="K135" s="640"/>
    </row>
    <row r="136" spans="1:11">
      <c r="A136" s="408" t="s">
        <v>263</v>
      </c>
      <c r="B136" s="532"/>
      <c r="C136" s="92">
        <f>-23-31</f>
        <v>-54</v>
      </c>
      <c r="D136" s="92">
        <v>1263</v>
      </c>
      <c r="E136" s="92">
        <f>-10+6</f>
        <v>-4</v>
      </c>
      <c r="F136" s="92">
        <v>-482</v>
      </c>
      <c r="G136" s="92">
        <v>-1750</v>
      </c>
      <c r="H136" s="92">
        <v>570</v>
      </c>
      <c r="I136" s="92">
        <v>2076</v>
      </c>
      <c r="J136" s="640"/>
      <c r="K136" s="640"/>
    </row>
    <row r="137" spans="1:11">
      <c r="A137" s="408" t="s">
        <v>264</v>
      </c>
      <c r="B137" s="532"/>
      <c r="C137" s="92">
        <v>-399</v>
      </c>
      <c r="D137" s="92">
        <v>7</v>
      </c>
      <c r="E137" s="92">
        <v>-242</v>
      </c>
      <c r="F137" s="92">
        <v>-298</v>
      </c>
      <c r="G137" s="92">
        <v>-31</v>
      </c>
      <c r="H137" s="92">
        <v>-175</v>
      </c>
      <c r="I137" s="92">
        <v>-42</v>
      </c>
      <c r="J137" s="640"/>
      <c r="K137" s="640"/>
    </row>
    <row r="138" spans="1:11" s="103" customFormat="1">
      <c r="A138" s="572" t="s">
        <v>393</v>
      </c>
      <c r="B138" s="533"/>
      <c r="C138" s="133">
        <f>SUM(C127:C137)</f>
        <v>2539</v>
      </c>
      <c r="D138" s="133">
        <v>2416</v>
      </c>
      <c r="E138" s="133">
        <f>SUM(E127:E137)</f>
        <v>2070</v>
      </c>
      <c r="F138" s="133">
        <f>SUM(F127:F137)</f>
        <v>705</v>
      </c>
      <c r="G138" s="133">
        <v>2340</v>
      </c>
      <c r="H138" s="133">
        <v>2276</v>
      </c>
      <c r="I138" s="133">
        <v>5164</v>
      </c>
    </row>
    <row r="139" spans="1:11">
      <c r="A139" s="571" t="s">
        <v>266</v>
      </c>
      <c r="H139" s="640"/>
      <c r="I139" s="10"/>
      <c r="J139" s="640"/>
      <c r="K139" s="640"/>
    </row>
    <row r="140" spans="1:11" ht="25.5">
      <c r="A140" s="268" t="s">
        <v>399</v>
      </c>
      <c r="C140" s="75">
        <v>-1674</v>
      </c>
      <c r="D140" s="75">
        <v>-1581</v>
      </c>
      <c r="E140" s="75">
        <v>-1715</v>
      </c>
      <c r="F140" s="75">
        <v>-2164</v>
      </c>
      <c r="G140" s="75">
        <v>-2100</v>
      </c>
      <c r="H140" s="75">
        <v>-2741</v>
      </c>
      <c r="I140" s="75">
        <v>-2106</v>
      </c>
      <c r="J140" s="640"/>
      <c r="K140" s="640"/>
    </row>
    <row r="141" spans="1:11">
      <c r="A141" s="408" t="s">
        <v>400</v>
      </c>
      <c r="C141" s="75">
        <v>-10</v>
      </c>
      <c r="D141" s="75">
        <v>-18</v>
      </c>
      <c r="E141" s="75">
        <v>-22</v>
      </c>
      <c r="F141" s="75">
        <v>-6</v>
      </c>
      <c r="G141" s="75">
        <v>-6</v>
      </c>
      <c r="H141" s="75">
        <v>-10</v>
      </c>
      <c r="I141" s="75">
        <v>-1</v>
      </c>
      <c r="J141" s="640"/>
      <c r="K141" s="640"/>
    </row>
    <row r="142" spans="1:11">
      <c r="A142" s="408" t="s">
        <v>401</v>
      </c>
      <c r="C142" s="75">
        <v>-1</v>
      </c>
      <c r="D142" s="121">
        <v>0</v>
      </c>
      <c r="E142" s="75">
        <v>-120</v>
      </c>
      <c r="F142" s="121">
        <v>0</v>
      </c>
      <c r="G142" s="92">
        <v>-1</v>
      </c>
      <c r="H142" s="75">
        <v>1</v>
      </c>
      <c r="I142" s="121">
        <v>0</v>
      </c>
      <c r="J142" s="640"/>
      <c r="K142" s="640"/>
    </row>
    <row r="143" spans="1:11">
      <c r="A143" s="408" t="s">
        <v>766</v>
      </c>
      <c r="C143" s="121">
        <v>0</v>
      </c>
      <c r="D143" s="121">
        <v>0</v>
      </c>
      <c r="E143" s="121">
        <v>0</v>
      </c>
      <c r="F143" s="75">
        <v>-216</v>
      </c>
      <c r="G143" s="121">
        <v>0</v>
      </c>
      <c r="H143" s="121">
        <v>0</v>
      </c>
      <c r="I143" s="121">
        <v>0</v>
      </c>
      <c r="J143" s="640"/>
      <c r="K143" s="640"/>
    </row>
    <row r="144" spans="1:11">
      <c r="A144" s="408" t="s">
        <v>756</v>
      </c>
      <c r="C144" s="121">
        <v>0</v>
      </c>
      <c r="D144" s="121">
        <v>0</v>
      </c>
      <c r="E144" s="121">
        <v>0</v>
      </c>
      <c r="F144" s="75">
        <v>-14</v>
      </c>
      <c r="G144" s="121">
        <v>0</v>
      </c>
      <c r="H144" s="121">
        <v>0</v>
      </c>
      <c r="I144" s="121">
        <v>0</v>
      </c>
      <c r="J144" s="640"/>
      <c r="K144" s="640"/>
    </row>
    <row r="145" spans="1:11">
      <c r="A145" s="570" t="s">
        <v>268</v>
      </c>
      <c r="C145" s="78">
        <v>-1685</v>
      </c>
      <c r="D145" s="78">
        <v>-1599</v>
      </c>
      <c r="E145" s="78">
        <v>-1857</v>
      </c>
      <c r="F145" s="78">
        <v>-2400</v>
      </c>
      <c r="G145" s="78">
        <v>-2107</v>
      </c>
      <c r="H145" s="78">
        <v>-2750</v>
      </c>
      <c r="I145" s="78">
        <v>-2107</v>
      </c>
      <c r="J145" s="640"/>
      <c r="K145" s="640"/>
    </row>
    <row r="146" spans="1:11" ht="25.5">
      <c r="A146" s="268" t="s">
        <v>414</v>
      </c>
      <c r="C146" s="75">
        <v>23</v>
      </c>
      <c r="D146" s="75">
        <v>53</v>
      </c>
      <c r="E146" s="75">
        <v>14</v>
      </c>
      <c r="F146" s="75">
        <v>14</v>
      </c>
      <c r="G146" s="75">
        <v>11</v>
      </c>
      <c r="H146" s="75">
        <v>52</v>
      </c>
      <c r="I146" s="75">
        <v>14</v>
      </c>
      <c r="J146" s="640"/>
      <c r="K146" s="640"/>
    </row>
    <row r="147" spans="1:11">
      <c r="A147" s="408" t="s">
        <v>404</v>
      </c>
      <c r="C147" s="121">
        <v>0</v>
      </c>
      <c r="D147" s="75">
        <v>47</v>
      </c>
      <c r="E147" s="75"/>
      <c r="F147" s="75">
        <v>72</v>
      </c>
      <c r="G147" s="121">
        <v>0</v>
      </c>
      <c r="H147" s="121">
        <v>0</v>
      </c>
      <c r="I147" s="121">
        <v>0</v>
      </c>
      <c r="J147" s="640"/>
      <c r="K147" s="640"/>
    </row>
    <row r="148" spans="1:11">
      <c r="A148" s="408" t="s">
        <v>405</v>
      </c>
      <c r="C148" s="92">
        <v>66</v>
      </c>
      <c r="D148" s="92">
        <v>-8</v>
      </c>
      <c r="E148" s="92">
        <v>2</v>
      </c>
      <c r="F148" s="92">
        <v>179</v>
      </c>
      <c r="G148" s="92">
        <v>2</v>
      </c>
      <c r="H148" s="92">
        <v>-2</v>
      </c>
      <c r="I148" s="92">
        <v>0</v>
      </c>
      <c r="J148" s="640"/>
      <c r="K148" s="640"/>
    </row>
    <row r="149" spans="1:11">
      <c r="A149" s="570" t="s">
        <v>270</v>
      </c>
      <c r="C149" s="132">
        <v>89</v>
      </c>
      <c r="D149" s="132">
        <v>92</v>
      </c>
      <c r="E149" s="132">
        <v>16</v>
      </c>
      <c r="F149" s="132">
        <v>265</v>
      </c>
      <c r="G149" s="132">
        <v>13</v>
      </c>
      <c r="H149" s="132">
        <v>50</v>
      </c>
      <c r="I149" s="132">
        <v>14</v>
      </c>
      <c r="J149" s="640"/>
      <c r="K149" s="640"/>
    </row>
    <row r="150" spans="1:11" s="103" customFormat="1">
      <c r="A150" s="572" t="s">
        <v>406</v>
      </c>
      <c r="B150" s="533"/>
      <c r="C150" s="101">
        <v>-1596</v>
      </c>
      <c r="D150" s="101">
        <v>-1507</v>
      </c>
      <c r="E150" s="101">
        <v>-1841</v>
      </c>
      <c r="F150" s="101">
        <v>-2135</v>
      </c>
      <c r="G150" s="101">
        <v>-2094</v>
      </c>
      <c r="H150" s="101">
        <v>-2700</v>
      </c>
      <c r="I150" s="101">
        <v>-2093</v>
      </c>
    </row>
    <row r="151" spans="1:11">
      <c r="A151" s="571" t="s">
        <v>272</v>
      </c>
      <c r="H151" s="10"/>
      <c r="I151" s="10"/>
      <c r="J151" s="640"/>
      <c r="K151" s="640"/>
    </row>
    <row r="152" spans="1:11">
      <c r="A152" s="408" t="s">
        <v>403</v>
      </c>
      <c r="C152" s="121">
        <v>0</v>
      </c>
      <c r="D152" s="75">
        <v>-170</v>
      </c>
      <c r="E152" s="121">
        <v>0</v>
      </c>
      <c r="F152" s="75">
        <v>-170</v>
      </c>
      <c r="H152" s="75">
        <v>-170</v>
      </c>
      <c r="I152" s="75">
        <v>0</v>
      </c>
      <c r="J152" s="640"/>
      <c r="K152" s="640"/>
    </row>
    <row r="153" spans="1:11">
      <c r="A153" s="408" t="s">
        <v>407</v>
      </c>
      <c r="C153" s="75">
        <v>-1808</v>
      </c>
      <c r="D153" s="75">
        <v>-1658</v>
      </c>
      <c r="E153" s="75">
        <v>-3109</v>
      </c>
      <c r="F153" s="75">
        <v>-2958</v>
      </c>
      <c r="G153" s="75">
        <v>-4199</v>
      </c>
      <c r="H153" s="75">
        <v>-2559</v>
      </c>
      <c r="I153" s="75">
        <v>-3769</v>
      </c>
      <c r="J153" s="640"/>
      <c r="K153" s="640"/>
    </row>
    <row r="154" spans="1:11">
      <c r="A154" s="408" t="s">
        <v>755</v>
      </c>
      <c r="C154" s="75"/>
      <c r="D154" s="121">
        <v>0</v>
      </c>
      <c r="E154" s="75"/>
      <c r="F154" s="75">
        <v>-1061</v>
      </c>
      <c r="G154" s="121">
        <v>0</v>
      </c>
      <c r="H154" s="75">
        <v>0</v>
      </c>
      <c r="I154" s="75">
        <v>0</v>
      </c>
      <c r="J154" s="640"/>
      <c r="K154" s="640"/>
    </row>
    <row r="155" spans="1:11">
      <c r="A155" s="408" t="s">
        <v>408</v>
      </c>
      <c r="C155" s="75">
        <v>-91</v>
      </c>
      <c r="D155" s="75">
        <v>-252</v>
      </c>
      <c r="E155" s="75">
        <v>-114</v>
      </c>
      <c r="F155" s="75">
        <v>-386</v>
      </c>
      <c r="G155" s="75">
        <v>-314</v>
      </c>
      <c r="H155" s="75">
        <v>-383</v>
      </c>
      <c r="I155" s="75">
        <v>-238</v>
      </c>
      <c r="J155" s="640"/>
      <c r="K155" s="640"/>
    </row>
    <row r="156" spans="1:11">
      <c r="A156" s="408" t="s">
        <v>702</v>
      </c>
      <c r="C156" s="75">
        <v>-83</v>
      </c>
      <c r="D156" s="75">
        <v>-34</v>
      </c>
      <c r="E156" s="75">
        <v>-91</v>
      </c>
      <c r="F156" s="75">
        <v>-35</v>
      </c>
      <c r="G156" s="75">
        <v>-82</v>
      </c>
      <c r="H156" s="75">
        <v>-23</v>
      </c>
      <c r="I156" s="75">
        <v>-96</v>
      </c>
      <c r="J156" s="640"/>
      <c r="K156" s="640"/>
    </row>
    <row r="157" spans="1:11">
      <c r="A157" s="408" t="s">
        <v>402</v>
      </c>
      <c r="C157" s="75">
        <v>-10</v>
      </c>
      <c r="D157" s="75">
        <v>-14</v>
      </c>
      <c r="E157" s="75">
        <f>-9</f>
        <v>-9</v>
      </c>
      <c r="F157" s="75">
        <v>-27</v>
      </c>
      <c r="G157" s="75">
        <v>-2</v>
      </c>
      <c r="H157" s="75">
        <v>-6</v>
      </c>
      <c r="I157" s="75">
        <v>-7</v>
      </c>
      <c r="J157" s="640"/>
      <c r="K157" s="640"/>
    </row>
    <row r="158" spans="1:11">
      <c r="A158" s="570" t="s">
        <v>268</v>
      </c>
      <c r="C158" s="78">
        <v>-1992</v>
      </c>
      <c r="D158" s="78">
        <v>-2128</v>
      </c>
      <c r="E158" s="78">
        <v>-4384</v>
      </c>
      <c r="F158" s="75">
        <v>-3576</v>
      </c>
      <c r="G158" s="75">
        <v>-4597</v>
      </c>
      <c r="H158" s="75">
        <v>-3141</v>
      </c>
      <c r="I158" s="75">
        <v>-4110</v>
      </c>
      <c r="J158" s="640"/>
      <c r="K158" s="640"/>
    </row>
    <row r="159" spans="1:11">
      <c r="A159" s="408" t="s">
        <v>409</v>
      </c>
      <c r="C159" s="75">
        <v>603</v>
      </c>
      <c r="D159" s="75">
        <v>1400</v>
      </c>
      <c r="E159" s="72">
        <v>4196</v>
      </c>
      <c r="F159" s="75">
        <v>5244</v>
      </c>
      <c r="G159" s="72">
        <v>4394</v>
      </c>
      <c r="H159" s="75">
        <v>3588</v>
      </c>
      <c r="I159" s="10">
        <v>422</v>
      </c>
      <c r="J159" s="640"/>
      <c r="K159" s="640"/>
    </row>
    <row r="160" spans="1:11">
      <c r="A160" s="408" t="s">
        <v>410</v>
      </c>
      <c r="C160" s="75">
        <v>56</v>
      </c>
      <c r="D160" s="75">
        <v>58</v>
      </c>
      <c r="E160" s="72">
        <v>20</v>
      </c>
      <c r="F160" s="75">
        <v>18</v>
      </c>
      <c r="G160" s="72">
        <v>13</v>
      </c>
      <c r="H160" s="75">
        <v>23</v>
      </c>
      <c r="I160" s="10">
        <v>41</v>
      </c>
      <c r="J160" s="640"/>
      <c r="K160" s="640"/>
    </row>
    <row r="161" spans="1:11">
      <c r="A161" s="408" t="s">
        <v>432</v>
      </c>
      <c r="C161" s="121">
        <v>0</v>
      </c>
      <c r="D161" s="121">
        <v>0</v>
      </c>
      <c r="E161" s="121">
        <v>0</v>
      </c>
      <c r="F161" s="121">
        <v>0</v>
      </c>
      <c r="G161" s="121">
        <v>0</v>
      </c>
      <c r="H161" s="121">
        <v>0</v>
      </c>
      <c r="I161" s="121">
        <v>0</v>
      </c>
      <c r="J161" s="640"/>
      <c r="K161" s="640"/>
    </row>
    <row r="162" spans="1:11">
      <c r="A162" s="408" t="s">
        <v>838</v>
      </c>
      <c r="C162" s="121"/>
      <c r="D162" s="121"/>
      <c r="E162" s="121"/>
      <c r="F162" s="121"/>
      <c r="G162" s="121"/>
      <c r="H162" s="75">
        <v>6</v>
      </c>
      <c r="I162" s="121">
        <v>0</v>
      </c>
      <c r="J162" s="640"/>
      <c r="K162" s="640"/>
    </row>
    <row r="163" spans="1:11">
      <c r="A163" s="570" t="s">
        <v>270</v>
      </c>
      <c r="C163" s="78">
        <v>659</v>
      </c>
      <c r="D163" s="78">
        <v>1458</v>
      </c>
      <c r="E163" s="78">
        <v>4216</v>
      </c>
      <c r="F163" s="75">
        <v>5262</v>
      </c>
      <c r="G163" s="75">
        <v>4407</v>
      </c>
      <c r="H163" s="75">
        <v>3617</v>
      </c>
      <c r="I163" s="75">
        <v>463</v>
      </c>
      <c r="J163" s="640"/>
      <c r="K163" s="640"/>
    </row>
    <row r="164" spans="1:11">
      <c r="A164" s="570" t="s">
        <v>395</v>
      </c>
      <c r="C164" s="134">
        <v>-1333</v>
      </c>
      <c r="D164" s="134">
        <v>-670</v>
      </c>
      <c r="E164" s="134">
        <v>-168</v>
      </c>
      <c r="F164" s="75">
        <v>1686</v>
      </c>
      <c r="G164" s="75">
        <v>-190</v>
      </c>
      <c r="H164" s="75">
        <v>476</v>
      </c>
      <c r="I164" s="75">
        <v>-3647</v>
      </c>
      <c r="J164" s="640"/>
      <c r="K164" s="640"/>
    </row>
    <row r="165" spans="1:11" s="103" customFormat="1" ht="28.15" customHeight="1">
      <c r="A165" s="269" t="s">
        <v>396</v>
      </c>
      <c r="B165" s="533"/>
      <c r="C165" s="101">
        <f>C164+C150+C138</f>
        <v>-390</v>
      </c>
      <c r="D165" s="101">
        <v>239</v>
      </c>
      <c r="E165" s="101">
        <f t="shared" ref="E165:F165" si="0">E164+E150+E138</f>
        <v>61</v>
      </c>
      <c r="F165" s="101">
        <f t="shared" si="0"/>
        <v>256</v>
      </c>
      <c r="G165" s="101">
        <v>56</v>
      </c>
      <c r="H165" s="101">
        <v>52</v>
      </c>
      <c r="I165" s="101">
        <v>-576</v>
      </c>
    </row>
    <row r="166" spans="1:11">
      <c r="A166" s="408" t="s">
        <v>411</v>
      </c>
      <c r="C166" s="75">
        <v>-2</v>
      </c>
      <c r="D166" s="75">
        <v>-1</v>
      </c>
      <c r="E166" s="75">
        <v>1</v>
      </c>
      <c r="F166" s="75">
        <v>-25</v>
      </c>
      <c r="G166" s="72">
        <v>25</v>
      </c>
      <c r="H166" s="75">
        <v>0</v>
      </c>
      <c r="I166" s="72">
        <v>-1</v>
      </c>
    </row>
    <row r="167" spans="1:11">
      <c r="A167" s="570" t="s">
        <v>278</v>
      </c>
      <c r="C167" s="92">
        <f>895-121</f>
        <v>774</v>
      </c>
      <c r="D167" s="92">
        <v>384</v>
      </c>
      <c r="E167" s="92">
        <f>623</f>
        <v>623</v>
      </c>
      <c r="F167" s="92">
        <f>846-162</f>
        <v>684</v>
      </c>
      <c r="G167" s="92">
        <f>F168</f>
        <v>940</v>
      </c>
      <c r="H167" s="10">
        <f>G168</f>
        <v>996</v>
      </c>
      <c r="I167" s="72">
        <v>1048</v>
      </c>
    </row>
    <row r="168" spans="1:11">
      <c r="A168" s="76" t="s">
        <v>397</v>
      </c>
      <c r="C168" s="75">
        <f>536-152</f>
        <v>384</v>
      </c>
      <c r="D168" s="75">
        <v>623</v>
      </c>
      <c r="E168" s="75">
        <f>846-162</f>
        <v>684</v>
      </c>
      <c r="F168" s="75">
        <v>940</v>
      </c>
      <c r="G168" s="72">
        <v>996</v>
      </c>
      <c r="H168" s="10">
        <v>1048</v>
      </c>
      <c r="I168" s="72">
        <v>472</v>
      </c>
    </row>
    <row r="169" spans="1:11" s="131" customFormat="1">
      <c r="A169" s="569" t="s">
        <v>412</v>
      </c>
      <c r="B169" s="531"/>
      <c r="C169" s="583">
        <f>231-152</f>
        <v>79</v>
      </c>
      <c r="D169" s="583">
        <v>146</v>
      </c>
      <c r="E169" s="583">
        <f>267-162</f>
        <v>105</v>
      </c>
      <c r="F169" s="583">
        <v>322</v>
      </c>
      <c r="G169" s="583">
        <v>290</v>
      </c>
      <c r="H169" s="131">
        <v>372</v>
      </c>
      <c r="I169" s="131">
        <v>184</v>
      </c>
    </row>
    <row r="170" spans="1:11">
      <c r="H170" s="10"/>
      <c r="I170" s="10"/>
      <c r="J170" s="10"/>
      <c r="K170" s="10"/>
    </row>
    <row r="171" spans="1:11">
      <c r="F171" s="92"/>
      <c r="G171" s="92"/>
      <c r="H171" s="10"/>
      <c r="I171" s="10"/>
      <c r="J171" s="10"/>
      <c r="K171" s="10"/>
    </row>
    <row r="172" spans="1:11">
      <c r="C172" s="92"/>
      <c r="D172" s="92"/>
      <c r="E172" s="92"/>
      <c r="F172" s="92"/>
      <c r="H172" s="10"/>
      <c r="I172" s="10"/>
      <c r="J172" s="10"/>
      <c r="K172" s="10"/>
    </row>
    <row r="173" spans="1:11">
      <c r="C173" s="92"/>
      <c r="D173" s="92"/>
      <c r="H173" s="10"/>
      <c r="I173" s="10"/>
      <c r="J173" s="10"/>
      <c r="K173" s="10"/>
    </row>
    <row r="174" spans="1:11">
      <c r="C174" s="92"/>
      <c r="D174" s="92"/>
    </row>
    <row r="175" spans="1:11">
      <c r="C175" s="92"/>
      <c r="D175" s="92"/>
    </row>
  </sheetData>
  <mergeCells count="4">
    <mergeCell ref="E2:F2"/>
    <mergeCell ref="F47:I47"/>
    <mergeCell ref="G2:I2"/>
    <mergeCell ref="G123:I123"/>
  </mergeCells>
  <pageMargins left="0.70866141732283472" right="0.70866141732283472" top="0.74803149606299213" bottom="0.74803149606299213" header="0.31496062992125984" footer="0.31496062992125984"/>
  <pageSetup paperSize="9" scale="16" fitToHeight="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 tint="-0.499984740745262"/>
    <pageSetUpPr fitToPage="1"/>
  </sheetPr>
  <dimension ref="A1:AW171"/>
  <sheetViews>
    <sheetView workbookViewId="0">
      <selection activeCell="F20" sqref="F20"/>
    </sheetView>
  </sheetViews>
  <sheetFormatPr defaultColWidth="12.42578125" defaultRowHeight="15"/>
  <cols>
    <col min="1" max="1" width="101.42578125" style="72" customWidth="1"/>
    <col min="2" max="2" width="4" style="543" customWidth="1"/>
    <col min="3" max="3" width="19.7109375" style="72" customWidth="1"/>
    <col min="4" max="4" width="15.28515625" style="72" customWidth="1"/>
    <col min="5" max="5" width="20" style="72" customWidth="1"/>
    <col min="6" max="6" width="19.7109375" style="72" customWidth="1"/>
    <col min="7" max="16384" width="12.42578125" style="72"/>
  </cols>
  <sheetData>
    <row r="1" spans="1:11" ht="20.25">
      <c r="A1" s="71" t="s">
        <v>415</v>
      </c>
    </row>
    <row r="2" spans="1:11">
      <c r="A2" s="89" t="s">
        <v>378</v>
      </c>
      <c r="B2" s="544"/>
      <c r="C2" s="699" t="s">
        <v>667</v>
      </c>
      <c r="D2" s="700"/>
      <c r="E2" s="697"/>
      <c r="F2" s="697"/>
      <c r="G2" s="697"/>
      <c r="H2" s="697"/>
    </row>
    <row r="3" spans="1:11" ht="89.25">
      <c r="A3" s="576" t="s">
        <v>681</v>
      </c>
      <c r="B3" s="545"/>
      <c r="C3" s="73" t="s">
        <v>666</v>
      </c>
      <c r="D3" s="73" t="s">
        <v>748</v>
      </c>
      <c r="E3" s="73" t="s">
        <v>747</v>
      </c>
      <c r="F3" s="73" t="s">
        <v>837</v>
      </c>
    </row>
    <row r="4" spans="1:11">
      <c r="A4" s="118"/>
    </row>
    <row r="5" spans="1:11">
      <c r="A5" s="80" t="s">
        <v>566</v>
      </c>
      <c r="B5" s="538"/>
      <c r="C5" s="75">
        <v>20850</v>
      </c>
      <c r="D5" s="75">
        <v>25164</v>
      </c>
      <c r="E5" s="75">
        <v>36311</v>
      </c>
      <c r="F5" s="75">
        <v>42657</v>
      </c>
      <c r="H5" s="10"/>
      <c r="I5" s="10"/>
      <c r="J5" s="10"/>
      <c r="K5" s="10"/>
    </row>
    <row r="6" spans="1:11">
      <c r="A6" s="252" t="s">
        <v>565</v>
      </c>
      <c r="B6" s="538"/>
      <c r="C6" s="75">
        <v>66</v>
      </c>
      <c r="D6" s="75">
        <v>-9</v>
      </c>
      <c r="E6" s="75">
        <v>484</v>
      </c>
      <c r="F6" s="75">
        <v>8058</v>
      </c>
      <c r="H6" s="10"/>
      <c r="I6" s="10"/>
      <c r="J6" s="10"/>
      <c r="K6" s="10"/>
    </row>
    <row r="7" spans="1:11">
      <c r="A7" s="87" t="s">
        <v>379</v>
      </c>
      <c r="B7" s="538"/>
      <c r="C7" s="75">
        <v>-21708</v>
      </c>
      <c r="D7" s="75">
        <v>-22928</v>
      </c>
      <c r="E7" s="75">
        <v>-34854</v>
      </c>
      <c r="F7" s="75">
        <v>-45627</v>
      </c>
      <c r="H7" s="10"/>
      <c r="I7" s="10"/>
      <c r="J7" s="10"/>
      <c r="K7" s="10"/>
    </row>
    <row r="8" spans="1:11">
      <c r="A8" s="80" t="s">
        <v>682</v>
      </c>
      <c r="B8" s="538"/>
      <c r="C8" s="75">
        <v>-792</v>
      </c>
      <c r="D8" s="75">
        <v>2227</v>
      </c>
      <c r="E8" s="75">
        <v>1941</v>
      </c>
      <c r="F8" s="75">
        <v>5088</v>
      </c>
      <c r="H8" s="10"/>
      <c r="I8" s="10"/>
      <c r="J8" s="10"/>
      <c r="K8" s="10"/>
    </row>
    <row r="9" spans="1:11">
      <c r="A9" s="87" t="s">
        <v>380</v>
      </c>
      <c r="B9" s="538"/>
      <c r="C9" s="75">
        <v>-497</v>
      </c>
      <c r="D9" s="75">
        <v>-485</v>
      </c>
      <c r="E9" s="75">
        <v>-528</v>
      </c>
      <c r="F9" s="75">
        <v>-766</v>
      </c>
      <c r="H9" s="10"/>
      <c r="I9" s="10"/>
      <c r="J9" s="10"/>
      <c r="K9" s="10"/>
    </row>
    <row r="10" spans="1:11">
      <c r="A10" s="87" t="s">
        <v>206</v>
      </c>
      <c r="B10" s="538"/>
      <c r="C10" s="75">
        <v>-637</v>
      </c>
      <c r="D10" s="75">
        <v>-490</v>
      </c>
      <c r="E10" s="75">
        <v>-558</v>
      </c>
      <c r="F10" s="75">
        <v>-701</v>
      </c>
      <c r="H10" s="10"/>
      <c r="I10" s="10"/>
      <c r="J10" s="10"/>
      <c r="K10" s="10"/>
    </row>
    <row r="11" spans="1:11">
      <c r="A11" s="87" t="s">
        <v>207</v>
      </c>
      <c r="B11" s="538"/>
      <c r="C11" s="75">
        <v>373</v>
      </c>
      <c r="D11" s="72">
        <v>76</v>
      </c>
      <c r="E11" s="75">
        <v>86</v>
      </c>
      <c r="F11" s="75">
        <v>260</v>
      </c>
      <c r="H11" s="10"/>
      <c r="I11" s="10"/>
      <c r="J11" s="10"/>
      <c r="K11" s="10"/>
    </row>
    <row r="12" spans="1:11">
      <c r="A12" s="87" t="s">
        <v>392</v>
      </c>
      <c r="B12" s="538"/>
      <c r="C12" s="75">
        <v>16</v>
      </c>
      <c r="D12" s="72">
        <v>32</v>
      </c>
      <c r="E12" s="75">
        <v>128</v>
      </c>
      <c r="F12" s="75">
        <v>-487</v>
      </c>
      <c r="H12" s="10"/>
      <c r="I12" s="10"/>
      <c r="J12" s="10"/>
      <c r="K12" s="10"/>
    </row>
    <row r="13" spans="1:11">
      <c r="A13" s="80" t="s">
        <v>381</v>
      </c>
      <c r="B13" s="538"/>
      <c r="C13" s="75">
        <v>-1537</v>
      </c>
      <c r="D13" s="72">
        <v>1360</v>
      </c>
      <c r="E13" s="75">
        <v>1069</v>
      </c>
      <c r="F13" s="75">
        <v>3394</v>
      </c>
      <c r="H13" s="10"/>
      <c r="I13" s="10"/>
      <c r="J13" s="10"/>
      <c r="K13" s="10"/>
    </row>
    <row r="14" spans="1:11">
      <c r="A14" s="87" t="s">
        <v>208</v>
      </c>
      <c r="B14" s="538"/>
      <c r="C14" s="75">
        <v>-286</v>
      </c>
      <c r="D14" s="75">
        <v>-365</v>
      </c>
      <c r="E14" s="75">
        <v>-591</v>
      </c>
      <c r="F14" s="75">
        <v>-797</v>
      </c>
      <c r="H14" s="10"/>
      <c r="I14" s="10"/>
      <c r="J14" s="10"/>
      <c r="K14" s="10"/>
    </row>
    <row r="15" spans="1:11">
      <c r="A15" s="87" t="s">
        <v>538</v>
      </c>
      <c r="B15" s="538"/>
      <c r="C15" s="75">
        <v>-356</v>
      </c>
      <c r="D15" s="72">
        <v>130</v>
      </c>
      <c r="E15" s="75">
        <v>-368</v>
      </c>
      <c r="F15" s="75">
        <v>-295</v>
      </c>
      <c r="H15" s="10"/>
      <c r="I15" s="10"/>
      <c r="J15" s="10"/>
      <c r="K15" s="10"/>
    </row>
    <row r="16" spans="1:11">
      <c r="A16" s="80" t="s">
        <v>683</v>
      </c>
      <c r="B16" s="538"/>
      <c r="C16" s="75">
        <v>-2179</v>
      </c>
      <c r="D16" s="72">
        <v>1125</v>
      </c>
      <c r="E16" s="75">
        <v>110</v>
      </c>
      <c r="F16" s="75">
        <v>2302</v>
      </c>
      <c r="H16" s="10"/>
      <c r="I16" s="10"/>
      <c r="J16" s="10"/>
      <c r="K16" s="10"/>
    </row>
    <row r="17" spans="1:11">
      <c r="A17" s="87" t="s">
        <v>209</v>
      </c>
      <c r="B17" s="538"/>
      <c r="C17" s="75">
        <v>6</v>
      </c>
      <c r="D17" s="75">
        <v>-293</v>
      </c>
      <c r="E17" s="75">
        <v>-319</v>
      </c>
      <c r="F17" s="75">
        <v>-624</v>
      </c>
      <c r="H17" s="10"/>
      <c r="I17" s="10"/>
      <c r="J17" s="10"/>
      <c r="K17" s="10"/>
    </row>
    <row r="18" spans="1:11">
      <c r="A18" s="87"/>
      <c r="B18" s="538"/>
      <c r="C18" s="75"/>
      <c r="D18" s="75"/>
      <c r="E18" s="75"/>
      <c r="H18" s="10"/>
      <c r="I18" s="10"/>
      <c r="J18" s="10"/>
      <c r="K18" s="10"/>
    </row>
    <row r="19" spans="1:11">
      <c r="A19" s="577" t="s">
        <v>744</v>
      </c>
      <c r="B19" s="548"/>
      <c r="C19" s="94"/>
      <c r="D19" s="94">
        <v>832</v>
      </c>
      <c r="E19" s="94">
        <v>-209</v>
      </c>
      <c r="F19" s="94">
        <v>1678</v>
      </c>
      <c r="H19" s="10"/>
      <c r="I19" s="10"/>
      <c r="J19" s="10"/>
      <c r="K19" s="10"/>
    </row>
    <row r="20" spans="1:11">
      <c r="A20" s="80"/>
      <c r="B20" s="538"/>
      <c r="C20" s="75"/>
      <c r="D20" s="75"/>
      <c r="E20" s="75"/>
      <c r="F20" s="75"/>
      <c r="H20" s="10"/>
      <c r="I20" s="10"/>
      <c r="J20" s="10"/>
      <c r="K20" s="10"/>
    </row>
    <row r="21" spans="1:11">
      <c r="A21" s="577" t="s">
        <v>745</v>
      </c>
      <c r="B21" s="548"/>
      <c r="C21" s="94"/>
      <c r="D21" s="94">
        <v>-447</v>
      </c>
      <c r="E21" s="94">
        <v>75</v>
      </c>
      <c r="F21" s="94">
        <v>0</v>
      </c>
      <c r="H21" s="10"/>
      <c r="I21" s="10"/>
      <c r="J21" s="10"/>
      <c r="K21" s="10"/>
    </row>
    <row r="22" spans="1:11">
      <c r="A22" s="87"/>
      <c r="B22" s="538"/>
      <c r="C22" s="75"/>
      <c r="D22" s="75"/>
      <c r="E22" s="75"/>
      <c r="F22" s="75"/>
      <c r="H22" s="10"/>
      <c r="I22" s="10"/>
      <c r="J22" s="10"/>
      <c r="K22" s="10"/>
    </row>
    <row r="23" spans="1:11">
      <c r="A23" s="577" t="s">
        <v>684</v>
      </c>
      <c r="B23" s="548"/>
      <c r="C23" s="94">
        <v>-2173</v>
      </c>
      <c r="D23" s="94">
        <v>385</v>
      </c>
      <c r="E23" s="94">
        <v>-134</v>
      </c>
      <c r="F23" s="94">
        <v>1678</v>
      </c>
      <c r="H23" s="10"/>
      <c r="I23" s="10"/>
      <c r="J23" s="10"/>
      <c r="K23" s="10"/>
    </row>
    <row r="24" spans="1:11">
      <c r="A24" s="96"/>
    </row>
    <row r="25" spans="1:11">
      <c r="A25" s="87" t="s">
        <v>210</v>
      </c>
      <c r="B25" s="538"/>
      <c r="C25" s="75">
        <v>-103</v>
      </c>
      <c r="D25" s="72">
        <v>455</v>
      </c>
      <c r="E25" s="75">
        <v>187</v>
      </c>
      <c r="F25" s="75">
        <v>-287</v>
      </c>
    </row>
    <row r="26" spans="1:11">
      <c r="A26" s="87" t="s">
        <v>211</v>
      </c>
      <c r="B26" s="538"/>
      <c r="C26" s="75">
        <v>12</v>
      </c>
      <c r="D26" s="72">
        <v>16</v>
      </c>
      <c r="E26" s="75">
        <v>17</v>
      </c>
      <c r="F26" s="72">
        <v>2</v>
      </c>
    </row>
    <row r="27" spans="1:11">
      <c r="A27" s="262" t="s">
        <v>212</v>
      </c>
      <c r="B27" s="538"/>
      <c r="C27" s="75">
        <v>19</v>
      </c>
      <c r="D27" s="75">
        <v>-88</v>
      </c>
      <c r="E27" s="75">
        <v>-36</v>
      </c>
      <c r="F27" s="75">
        <v>55</v>
      </c>
    </row>
    <row r="28" spans="1:11" ht="26.25">
      <c r="A28" s="578" t="s">
        <v>685</v>
      </c>
      <c r="B28" s="538"/>
      <c r="C28" s="78">
        <v>-72</v>
      </c>
      <c r="D28" s="324">
        <v>383</v>
      </c>
      <c r="E28" s="78">
        <v>168</v>
      </c>
      <c r="F28" s="78">
        <v>-230</v>
      </c>
    </row>
    <row r="29" spans="1:11">
      <c r="A29" s="262" t="s">
        <v>686</v>
      </c>
      <c r="B29" s="538"/>
      <c r="C29" s="75">
        <v>-144</v>
      </c>
      <c r="D29" s="72">
        <v>104</v>
      </c>
      <c r="E29" s="75">
        <v>68</v>
      </c>
      <c r="F29" s="75">
        <v>-133</v>
      </c>
    </row>
    <row r="30" spans="1:11">
      <c r="A30" s="262" t="s">
        <v>212</v>
      </c>
      <c r="B30" s="538"/>
      <c r="C30" s="75">
        <v>27</v>
      </c>
      <c r="D30" s="75">
        <v>-18</v>
      </c>
      <c r="E30" s="75">
        <v>-12</v>
      </c>
      <c r="F30" s="75">
        <v>25</v>
      </c>
    </row>
    <row r="31" spans="1:11" ht="26.25">
      <c r="A31" s="642" t="s">
        <v>831</v>
      </c>
      <c r="B31" s="538"/>
      <c r="C31" s="75"/>
      <c r="D31" s="75"/>
      <c r="E31" s="75"/>
      <c r="F31" s="75">
        <v>-1</v>
      </c>
    </row>
    <row r="32" spans="1:11" ht="26.25">
      <c r="A32" s="578" t="s">
        <v>630</v>
      </c>
      <c r="B32" s="538"/>
      <c r="C32" s="75">
        <v>-117</v>
      </c>
      <c r="D32" s="72">
        <v>86</v>
      </c>
      <c r="E32" s="75">
        <v>56</v>
      </c>
      <c r="F32" s="75">
        <v>-109</v>
      </c>
    </row>
    <row r="33" spans="1:6" ht="7.5" customHeight="1">
      <c r="A33" s="578"/>
      <c r="B33" s="538"/>
      <c r="C33" s="75"/>
    </row>
    <row r="34" spans="1:6" ht="26.25">
      <c r="A34" s="578" t="s">
        <v>746</v>
      </c>
      <c r="B34" s="538"/>
      <c r="C34" s="75"/>
      <c r="D34" s="72">
        <v>11</v>
      </c>
      <c r="E34" s="72">
        <v>18</v>
      </c>
      <c r="F34" s="72">
        <v>0</v>
      </c>
    </row>
    <row r="35" spans="1:6">
      <c r="A35" s="578"/>
      <c r="B35" s="538"/>
      <c r="C35" s="75"/>
    </row>
    <row r="36" spans="1:6">
      <c r="A36" s="565" t="s">
        <v>213</v>
      </c>
      <c r="B36" s="538"/>
      <c r="C36" s="78">
        <v>-189</v>
      </c>
      <c r="D36" s="324">
        <v>480</v>
      </c>
      <c r="E36" s="324">
        <v>242</v>
      </c>
      <c r="F36" s="78">
        <v>-339</v>
      </c>
    </row>
    <row r="37" spans="1:6">
      <c r="A37" s="565" t="s">
        <v>687</v>
      </c>
      <c r="B37" s="538"/>
      <c r="C37" s="75">
        <v>-2362</v>
      </c>
      <c r="D37" s="72">
        <v>865</v>
      </c>
      <c r="E37" s="72">
        <v>108</v>
      </c>
      <c r="F37" s="643">
        <v>1339</v>
      </c>
    </row>
    <row r="38" spans="1:6">
      <c r="A38" s="80" t="s">
        <v>688</v>
      </c>
      <c r="F38" s="643"/>
    </row>
    <row r="39" spans="1:6">
      <c r="A39" s="87" t="s">
        <v>416</v>
      </c>
      <c r="B39" s="538"/>
      <c r="C39" s="75">
        <v>-2170</v>
      </c>
      <c r="D39" s="72">
        <v>338</v>
      </c>
      <c r="E39" s="75">
        <v>-134</v>
      </c>
      <c r="F39" s="643">
        <v>1673</v>
      </c>
    </row>
    <row r="40" spans="1:6">
      <c r="A40" s="87" t="s">
        <v>216</v>
      </c>
      <c r="B40" s="538"/>
      <c r="C40" s="75">
        <v>-3</v>
      </c>
      <c r="D40" s="72">
        <v>47</v>
      </c>
      <c r="E40" s="121">
        <v>0</v>
      </c>
      <c r="F40" s="643">
        <v>5</v>
      </c>
    </row>
    <row r="41" spans="1:6">
      <c r="A41" s="80" t="s">
        <v>217</v>
      </c>
      <c r="F41" s="643"/>
    </row>
    <row r="42" spans="1:6">
      <c r="A42" s="87" t="s">
        <v>416</v>
      </c>
      <c r="B42" s="538"/>
      <c r="C42" s="75">
        <v>-2359</v>
      </c>
      <c r="D42" s="72">
        <v>818</v>
      </c>
      <c r="E42" s="75">
        <v>108</v>
      </c>
      <c r="F42" s="643">
        <v>1334</v>
      </c>
    </row>
    <row r="43" spans="1:6">
      <c r="A43" s="97" t="s">
        <v>216</v>
      </c>
      <c r="B43" s="538"/>
      <c r="C43" s="75">
        <v>-3</v>
      </c>
      <c r="D43" s="72">
        <v>47</v>
      </c>
      <c r="E43" s="121">
        <v>0</v>
      </c>
      <c r="F43" s="72">
        <v>5</v>
      </c>
    </row>
    <row r="44" spans="1:6">
      <c r="A44" s="80"/>
      <c r="B44" s="549"/>
      <c r="C44" s="119"/>
      <c r="D44" s="119"/>
      <c r="E44" s="119"/>
      <c r="F44" s="119"/>
    </row>
    <row r="45" spans="1:6">
      <c r="A45" s="577" t="s">
        <v>689</v>
      </c>
      <c r="C45" s="120">
        <v>-1.24</v>
      </c>
      <c r="D45" s="120">
        <v>0.19</v>
      </c>
      <c r="E45" s="120">
        <v>-7.6460041844618049E-2</v>
      </c>
      <c r="F45" s="120">
        <v>0.95460932840332835</v>
      </c>
    </row>
    <row r="46" spans="1:6">
      <c r="A46" s="270"/>
    </row>
    <row r="47" spans="1:6" ht="15.75">
      <c r="A47" s="575" t="s">
        <v>385</v>
      </c>
      <c r="B47" s="550"/>
      <c r="C47" s="699" t="s">
        <v>667</v>
      </c>
      <c r="D47" s="700"/>
      <c r="E47" s="697"/>
      <c r="F47" s="697"/>
    </row>
    <row r="48" spans="1:6" ht="63.75">
      <c r="A48" s="576" t="s">
        <v>681</v>
      </c>
      <c r="B48" s="545"/>
      <c r="C48" s="73" t="s">
        <v>629</v>
      </c>
      <c r="D48" s="73" t="s">
        <v>668</v>
      </c>
      <c r="E48" s="73" t="s">
        <v>749</v>
      </c>
      <c r="F48" s="73" t="s">
        <v>872</v>
      </c>
    </row>
    <row r="49" spans="1:49">
      <c r="A49" s="80" t="s">
        <v>219</v>
      </c>
    </row>
    <row r="50" spans="1:49">
      <c r="A50" s="80" t="s">
        <v>220</v>
      </c>
    </row>
    <row r="51" spans="1:49">
      <c r="A51" s="80" t="s">
        <v>221</v>
      </c>
      <c r="B51" s="546"/>
      <c r="C51" s="92">
        <v>29505</v>
      </c>
      <c r="D51" s="92">
        <v>29174</v>
      </c>
      <c r="E51" s="92">
        <v>29731</v>
      </c>
      <c r="F51" s="92">
        <v>31872</v>
      </c>
    </row>
    <row r="52" spans="1:49">
      <c r="A52" s="80" t="s">
        <v>536</v>
      </c>
      <c r="B52" s="546"/>
      <c r="C52" s="92">
        <v>1876</v>
      </c>
      <c r="D52" s="92">
        <v>1946</v>
      </c>
      <c r="E52" s="92">
        <v>1996</v>
      </c>
      <c r="F52" s="92">
        <v>2164</v>
      </c>
    </row>
    <row r="53" spans="1:49">
      <c r="A53" s="80" t="s">
        <v>222</v>
      </c>
      <c r="B53" s="546"/>
      <c r="C53" s="92">
        <v>26</v>
      </c>
      <c r="D53" s="92">
        <v>26</v>
      </c>
      <c r="E53" s="92">
        <v>26</v>
      </c>
      <c r="F53" s="92">
        <v>26</v>
      </c>
    </row>
    <row r="54" spans="1:49" ht="28.5">
      <c r="A54" s="123" t="s">
        <v>612</v>
      </c>
      <c r="B54" s="546"/>
      <c r="C54" s="92">
        <v>501</v>
      </c>
      <c r="D54" s="92">
        <v>444</v>
      </c>
      <c r="E54" s="92">
        <v>55</v>
      </c>
      <c r="F54" s="92">
        <v>24</v>
      </c>
    </row>
    <row r="55" spans="1:49">
      <c r="A55" s="80" t="s">
        <v>223</v>
      </c>
      <c r="B55" s="546"/>
      <c r="C55" s="92">
        <v>552</v>
      </c>
      <c r="D55" s="92">
        <v>540</v>
      </c>
      <c r="E55" s="92">
        <v>726</v>
      </c>
      <c r="F55" s="92">
        <v>848</v>
      </c>
    </row>
    <row r="56" spans="1:49">
      <c r="A56" s="80" t="s">
        <v>224</v>
      </c>
      <c r="B56" s="546"/>
      <c r="C56" s="92">
        <v>587</v>
      </c>
      <c r="D56" s="92">
        <v>597</v>
      </c>
      <c r="E56" s="92">
        <v>682</v>
      </c>
      <c r="F56" s="92">
        <v>169</v>
      </c>
    </row>
    <row r="57" spans="1:49">
      <c r="A57" s="80" t="s">
        <v>225</v>
      </c>
      <c r="B57" s="546"/>
      <c r="C57" s="92">
        <v>97</v>
      </c>
      <c r="D57" s="92">
        <v>99</v>
      </c>
      <c r="E57" s="92">
        <v>206</v>
      </c>
      <c r="F57" s="92">
        <v>357</v>
      </c>
    </row>
    <row r="58" spans="1:49">
      <c r="A58" s="80" t="s">
        <v>389</v>
      </c>
      <c r="B58" s="546"/>
      <c r="C58" s="92">
        <v>36</v>
      </c>
      <c r="D58" s="92">
        <v>532</v>
      </c>
      <c r="E58" s="92">
        <v>390</v>
      </c>
      <c r="F58" s="92">
        <v>149</v>
      </c>
    </row>
    <row r="59" spans="1:49">
      <c r="A59" s="80" t="s">
        <v>226</v>
      </c>
      <c r="B59" s="546"/>
      <c r="C59" s="92">
        <v>209</v>
      </c>
      <c r="D59" s="92">
        <v>215</v>
      </c>
      <c r="E59" s="92">
        <v>301</v>
      </c>
      <c r="F59" s="92">
        <v>278</v>
      </c>
    </row>
    <row r="60" spans="1:49">
      <c r="A60" s="80" t="s">
        <v>227</v>
      </c>
      <c r="B60" s="546"/>
      <c r="C60" s="92">
        <v>63</v>
      </c>
      <c r="D60" s="92">
        <v>159</v>
      </c>
      <c r="E60" s="92">
        <v>268</v>
      </c>
      <c r="F60" s="92">
        <v>707</v>
      </c>
    </row>
    <row r="61" spans="1:49">
      <c r="A61" s="84" t="s">
        <v>386</v>
      </c>
      <c r="B61" s="547"/>
      <c r="C61" s="85">
        <v>133</v>
      </c>
      <c r="D61" s="85">
        <v>123</v>
      </c>
      <c r="E61" s="85">
        <v>672</v>
      </c>
      <c r="F61" s="85">
        <v>759</v>
      </c>
    </row>
    <row r="62" spans="1:49">
      <c r="A62" s="80"/>
      <c r="B62" s="538"/>
      <c r="C62" s="75">
        <v>33585</v>
      </c>
      <c r="D62" s="75">
        <v>33855</v>
      </c>
      <c r="E62" s="75">
        <v>35053</v>
      </c>
      <c r="F62" s="75">
        <v>37353</v>
      </c>
    </row>
    <row r="63" spans="1:49">
      <c r="A63" s="80" t="s">
        <v>229</v>
      </c>
      <c r="B63" s="546"/>
      <c r="D63" s="92"/>
    </row>
    <row r="64" spans="1:49" ht="28.5">
      <c r="A64" s="123" t="s">
        <v>611</v>
      </c>
      <c r="B64" s="546"/>
      <c r="C64" s="92">
        <v>1039</v>
      </c>
      <c r="D64" s="92">
        <v>157</v>
      </c>
      <c r="E64" s="92">
        <v>597</v>
      </c>
      <c r="F64" s="75">
        <v>702</v>
      </c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</row>
    <row r="65" spans="1:49">
      <c r="A65" s="80" t="s">
        <v>230</v>
      </c>
      <c r="B65" s="546"/>
      <c r="C65" s="92">
        <v>874</v>
      </c>
      <c r="D65" s="92">
        <v>543</v>
      </c>
      <c r="E65" s="92">
        <v>1118</v>
      </c>
      <c r="F65" s="75">
        <v>1483</v>
      </c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</row>
    <row r="66" spans="1:49">
      <c r="A66" s="80" t="s">
        <v>231</v>
      </c>
      <c r="B66" s="546"/>
      <c r="C66" s="92">
        <v>2473</v>
      </c>
      <c r="D66" s="92">
        <v>3322</v>
      </c>
      <c r="E66" s="92">
        <v>3819</v>
      </c>
      <c r="F66" s="75">
        <v>5341</v>
      </c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</row>
    <row r="67" spans="1:49" ht="15" customHeight="1">
      <c r="A67" s="80" t="s">
        <v>387</v>
      </c>
      <c r="B67" s="538"/>
      <c r="C67" s="75">
        <v>84</v>
      </c>
      <c r="D67" s="92">
        <v>415</v>
      </c>
      <c r="E67" s="92">
        <v>518</v>
      </c>
      <c r="F67" s="75">
        <v>105</v>
      </c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</row>
    <row r="68" spans="1:49" ht="15" customHeight="1">
      <c r="A68" s="80" t="s">
        <v>232</v>
      </c>
      <c r="B68" s="538"/>
      <c r="C68" s="92">
        <v>295</v>
      </c>
      <c r="D68" s="92">
        <v>292</v>
      </c>
      <c r="E68" s="92">
        <v>803</v>
      </c>
      <c r="F68" s="75">
        <v>794</v>
      </c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</row>
    <row r="69" spans="1:49" ht="15" customHeight="1">
      <c r="A69" s="80" t="s">
        <v>225</v>
      </c>
      <c r="B69" s="538"/>
      <c r="C69" s="92">
        <v>2</v>
      </c>
      <c r="D69" s="121">
        <v>0</v>
      </c>
      <c r="E69" s="121">
        <v>0</v>
      </c>
      <c r="F69" s="121">
        <v>0</v>
      </c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</row>
    <row r="70" spans="1:49" ht="15" customHeight="1">
      <c r="A70" s="80" t="s">
        <v>690</v>
      </c>
      <c r="B70" s="538"/>
      <c r="C70" s="92">
        <v>123</v>
      </c>
      <c r="D70" s="92">
        <v>465</v>
      </c>
      <c r="E70" s="92">
        <v>459</v>
      </c>
      <c r="F70" s="92">
        <v>275</v>
      </c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</row>
    <row r="71" spans="1:49">
      <c r="A71" s="80" t="s">
        <v>226</v>
      </c>
      <c r="B71" s="551"/>
      <c r="C71" s="92">
        <v>143</v>
      </c>
      <c r="D71" s="92">
        <v>89</v>
      </c>
      <c r="E71" s="92">
        <v>478</v>
      </c>
      <c r="F71" s="92">
        <v>2449</v>
      </c>
    </row>
    <row r="72" spans="1:49">
      <c r="A72" s="118" t="s">
        <v>227</v>
      </c>
      <c r="B72" s="538"/>
      <c r="C72" s="92">
        <v>83</v>
      </c>
      <c r="D72" s="92">
        <v>112</v>
      </c>
      <c r="E72" s="92">
        <v>790</v>
      </c>
      <c r="F72" s="92">
        <v>207</v>
      </c>
    </row>
    <row r="73" spans="1:49">
      <c r="A73" s="80" t="s">
        <v>233</v>
      </c>
      <c r="B73" s="538"/>
      <c r="C73" s="75">
        <v>921</v>
      </c>
      <c r="D73" s="92">
        <v>815</v>
      </c>
      <c r="E73" s="92">
        <v>1678</v>
      </c>
      <c r="F73" s="92">
        <v>1084</v>
      </c>
    </row>
    <row r="74" spans="1:49">
      <c r="A74" s="263" t="s">
        <v>609</v>
      </c>
      <c r="B74" s="547"/>
      <c r="C74" s="85">
        <v>74</v>
      </c>
      <c r="D74" s="85">
        <v>10</v>
      </c>
      <c r="E74" s="85">
        <v>7</v>
      </c>
      <c r="F74" s="85">
        <v>5</v>
      </c>
    </row>
    <row r="75" spans="1:49">
      <c r="A75" s="80"/>
      <c r="B75" s="538"/>
      <c r="C75" s="75">
        <v>6111</v>
      </c>
      <c r="D75" s="92">
        <v>6220</v>
      </c>
      <c r="E75" s="92">
        <v>10267</v>
      </c>
      <c r="F75" s="92">
        <v>12445</v>
      </c>
    </row>
    <row r="76" spans="1:49">
      <c r="A76" s="80"/>
      <c r="D76" s="92"/>
      <c r="E76" s="92"/>
      <c r="F76" s="92"/>
    </row>
    <row r="77" spans="1:49">
      <c r="A77" s="74" t="s">
        <v>234</v>
      </c>
      <c r="B77" s="552"/>
      <c r="C77" s="101">
        <v>39696</v>
      </c>
      <c r="D77" s="101">
        <v>40075</v>
      </c>
      <c r="E77" s="101">
        <v>45320</v>
      </c>
      <c r="F77" s="101">
        <v>49798</v>
      </c>
    </row>
    <row r="78" spans="1:49">
      <c r="A78" s="80"/>
      <c r="B78" s="553"/>
      <c r="C78" s="102"/>
      <c r="D78" s="133"/>
      <c r="E78" s="133"/>
      <c r="F78" s="133"/>
    </row>
    <row r="79" spans="1:49">
      <c r="A79" s="96" t="s">
        <v>235</v>
      </c>
      <c r="B79" s="538"/>
      <c r="D79" s="92"/>
    </row>
    <row r="80" spans="1:49">
      <c r="A80" s="80" t="s">
        <v>388</v>
      </c>
      <c r="B80" s="538"/>
      <c r="D80" s="92"/>
    </row>
    <row r="81" spans="1:6">
      <c r="A81" s="80" t="s">
        <v>237</v>
      </c>
      <c r="B81" s="538"/>
      <c r="C81" s="75">
        <v>8763</v>
      </c>
      <c r="D81" s="92">
        <v>8763</v>
      </c>
      <c r="E81" s="92">
        <v>8763</v>
      </c>
      <c r="F81" s="92">
        <v>8763</v>
      </c>
    </row>
    <row r="82" spans="1:6">
      <c r="A82" s="80" t="s">
        <v>238</v>
      </c>
      <c r="B82" s="538"/>
      <c r="C82" s="75">
        <v>6339</v>
      </c>
      <c r="D82" s="92">
        <v>2749</v>
      </c>
      <c r="E82" s="92">
        <v>3009</v>
      </c>
      <c r="F82" s="92">
        <v>3076</v>
      </c>
    </row>
    <row r="83" spans="1:6">
      <c r="A83" s="80" t="s">
        <v>239</v>
      </c>
      <c r="B83" s="538"/>
      <c r="C83" s="75">
        <v>-68</v>
      </c>
      <c r="D83" s="92">
        <v>299</v>
      </c>
      <c r="E83" s="92">
        <v>450</v>
      </c>
      <c r="F83" s="92">
        <v>218</v>
      </c>
    </row>
    <row r="84" spans="1:6">
      <c r="A84" s="80" t="s">
        <v>211</v>
      </c>
      <c r="B84" s="538"/>
      <c r="C84" s="75">
        <v>27</v>
      </c>
      <c r="D84" s="92">
        <v>43</v>
      </c>
      <c r="E84" s="92">
        <v>60</v>
      </c>
      <c r="F84" s="92">
        <v>62</v>
      </c>
    </row>
    <row r="85" spans="1:6">
      <c r="A85" s="81" t="s">
        <v>417</v>
      </c>
      <c r="B85" s="547"/>
      <c r="C85" s="85">
        <v>773</v>
      </c>
      <c r="D85" s="85">
        <v>4637</v>
      </c>
      <c r="E85" s="85">
        <v>4299</v>
      </c>
      <c r="F85" s="85">
        <v>5796</v>
      </c>
    </row>
    <row r="86" spans="1:6">
      <c r="A86" s="80"/>
      <c r="B86" s="538"/>
      <c r="C86" s="75">
        <v>15834</v>
      </c>
      <c r="D86" s="92">
        <v>16491</v>
      </c>
      <c r="E86" s="92">
        <v>16581</v>
      </c>
      <c r="F86" s="92">
        <v>17915</v>
      </c>
    </row>
    <row r="87" spans="1:6">
      <c r="A87" s="80"/>
      <c r="B87" s="538"/>
      <c r="D87" s="92"/>
      <c r="E87" s="92"/>
    </row>
    <row r="88" spans="1:6">
      <c r="A88" s="80" t="s">
        <v>241</v>
      </c>
      <c r="B88" s="546"/>
      <c r="C88" s="92">
        <v>893</v>
      </c>
      <c r="D88" s="92">
        <v>33</v>
      </c>
      <c r="E88" s="92">
        <v>33</v>
      </c>
      <c r="F88" s="72">
        <v>38</v>
      </c>
    </row>
    <row r="89" spans="1:6">
      <c r="A89" s="80"/>
      <c r="D89" s="92"/>
      <c r="E89" s="92"/>
    </row>
    <row r="90" spans="1:6">
      <c r="A90" s="83" t="s">
        <v>242</v>
      </c>
      <c r="B90" s="553"/>
      <c r="C90" s="102">
        <v>16727</v>
      </c>
      <c r="D90" s="102">
        <v>16524</v>
      </c>
      <c r="E90" s="102">
        <v>16614</v>
      </c>
      <c r="F90" s="102">
        <v>17953</v>
      </c>
    </row>
    <row r="91" spans="1:6">
      <c r="A91" s="80"/>
      <c r="B91" s="553"/>
      <c r="C91" s="102"/>
      <c r="D91" s="102"/>
      <c r="E91" s="102"/>
      <c r="F91" s="102"/>
    </row>
    <row r="92" spans="1:6">
      <c r="A92" s="96" t="s">
        <v>243</v>
      </c>
      <c r="B92" s="538"/>
      <c r="D92" s="92"/>
    </row>
    <row r="93" spans="1:6">
      <c r="A93" s="80" t="s">
        <v>691</v>
      </c>
      <c r="B93" s="554"/>
      <c r="C93" s="405">
        <v>13171</v>
      </c>
      <c r="D93" s="405">
        <v>10947</v>
      </c>
      <c r="E93" s="405">
        <v>15959</v>
      </c>
      <c r="F93" s="405">
        <v>15317</v>
      </c>
    </row>
    <row r="94" spans="1:6">
      <c r="A94" s="80" t="s">
        <v>245</v>
      </c>
      <c r="B94" s="554"/>
      <c r="C94" s="92">
        <v>952</v>
      </c>
      <c r="D94" s="92">
        <v>789</v>
      </c>
      <c r="E94" s="92">
        <v>494</v>
      </c>
      <c r="F94" s="92">
        <v>650</v>
      </c>
    </row>
    <row r="95" spans="1:6" ht="26.25">
      <c r="A95" s="252" t="s">
        <v>692</v>
      </c>
      <c r="B95" s="554"/>
      <c r="C95" s="405">
        <v>669</v>
      </c>
      <c r="D95" s="405">
        <v>436</v>
      </c>
      <c r="E95" s="405">
        <v>157</v>
      </c>
      <c r="F95" s="405">
        <v>209</v>
      </c>
    </row>
    <row r="96" spans="1:6">
      <c r="A96" s="80" t="s">
        <v>246</v>
      </c>
      <c r="B96" s="554"/>
      <c r="C96" s="92">
        <v>495</v>
      </c>
      <c r="D96" s="92">
        <v>568</v>
      </c>
      <c r="E96" s="92">
        <v>571</v>
      </c>
      <c r="F96" s="92">
        <v>607</v>
      </c>
    </row>
    <row r="97" spans="1:6">
      <c r="A97" s="80" t="s">
        <v>390</v>
      </c>
      <c r="B97" s="554"/>
      <c r="C97" s="75">
        <v>434</v>
      </c>
      <c r="D97" s="92">
        <v>741</v>
      </c>
      <c r="E97" s="92">
        <v>1200</v>
      </c>
      <c r="F97" s="92">
        <v>1212</v>
      </c>
    </row>
    <row r="98" spans="1:6">
      <c r="A98" s="80" t="s">
        <v>389</v>
      </c>
      <c r="B98" s="546"/>
      <c r="C98" s="92">
        <v>74</v>
      </c>
      <c r="D98" s="92">
        <v>116</v>
      </c>
      <c r="E98" s="92">
        <v>10</v>
      </c>
      <c r="F98" s="92">
        <v>169</v>
      </c>
    </row>
    <row r="99" spans="1:6">
      <c r="A99" s="80" t="s">
        <v>249</v>
      </c>
      <c r="B99" s="546"/>
      <c r="C99" s="92">
        <v>64</v>
      </c>
      <c r="D99" s="92">
        <v>33</v>
      </c>
      <c r="E99" s="92">
        <v>119</v>
      </c>
      <c r="F99" s="92">
        <f>152+32</f>
        <v>184</v>
      </c>
    </row>
    <row r="100" spans="1:6">
      <c r="A100" s="84" t="s">
        <v>253</v>
      </c>
      <c r="B100" s="547"/>
      <c r="C100" s="85">
        <v>8</v>
      </c>
      <c r="D100" s="85">
        <v>4</v>
      </c>
      <c r="E100" s="85">
        <v>1</v>
      </c>
      <c r="F100" s="85">
        <v>1</v>
      </c>
    </row>
    <row r="101" spans="1:6">
      <c r="A101" s="80"/>
      <c r="B101" s="546"/>
      <c r="C101" s="92">
        <v>15867</v>
      </c>
      <c r="D101" s="92">
        <v>13634</v>
      </c>
      <c r="E101" s="92">
        <v>18511</v>
      </c>
      <c r="F101" s="92">
        <v>18349</v>
      </c>
    </row>
    <row r="102" spans="1:6">
      <c r="A102" s="80" t="s">
        <v>250</v>
      </c>
      <c r="B102" s="538"/>
      <c r="D102" s="92"/>
    </row>
    <row r="103" spans="1:6">
      <c r="A103" s="80" t="s">
        <v>691</v>
      </c>
      <c r="B103" s="554"/>
      <c r="C103" s="405">
        <v>1481</v>
      </c>
      <c r="D103" s="92">
        <v>2143</v>
      </c>
      <c r="E103" s="92">
        <v>528</v>
      </c>
      <c r="F103" s="72">
        <v>2098</v>
      </c>
    </row>
    <row r="104" spans="1:6">
      <c r="A104" s="80" t="s">
        <v>248</v>
      </c>
      <c r="B104" s="538"/>
      <c r="C104" s="75">
        <v>1021</v>
      </c>
      <c r="D104" s="92">
        <v>1242</v>
      </c>
      <c r="E104" s="92">
        <v>2246</v>
      </c>
      <c r="F104" s="72">
        <v>2088</v>
      </c>
    </row>
    <row r="105" spans="1:6">
      <c r="A105" s="579" t="s">
        <v>693</v>
      </c>
      <c r="B105" s="538"/>
      <c r="C105" s="75">
        <v>0</v>
      </c>
      <c r="D105" s="92">
        <v>1061</v>
      </c>
      <c r="E105" s="92">
        <v>0</v>
      </c>
      <c r="F105" s="72">
        <v>0</v>
      </c>
    </row>
    <row r="106" spans="1:6">
      <c r="A106" s="80" t="s">
        <v>251</v>
      </c>
      <c r="B106" s="538"/>
      <c r="C106" s="75">
        <v>857</v>
      </c>
      <c r="D106" s="92">
        <v>616</v>
      </c>
      <c r="E106" s="92">
        <v>707</v>
      </c>
      <c r="F106" s="92">
        <v>555</v>
      </c>
    </row>
    <row r="107" spans="1:6">
      <c r="A107" s="80" t="s">
        <v>245</v>
      </c>
      <c r="B107" s="538"/>
      <c r="C107" s="75">
        <v>104</v>
      </c>
      <c r="D107" s="92">
        <v>104</v>
      </c>
      <c r="E107" s="92">
        <v>92</v>
      </c>
      <c r="F107" s="92">
        <v>104</v>
      </c>
    </row>
    <row r="108" spans="1:6" ht="26.25">
      <c r="A108" s="252" t="s">
        <v>694</v>
      </c>
      <c r="B108" s="538"/>
      <c r="C108" s="75">
        <v>1750</v>
      </c>
      <c r="D108" s="92">
        <v>1890</v>
      </c>
      <c r="E108" s="92">
        <v>3692</v>
      </c>
      <c r="F108" s="92">
        <v>3744</v>
      </c>
    </row>
    <row r="109" spans="1:6">
      <c r="A109" s="80" t="s">
        <v>252</v>
      </c>
      <c r="B109" s="538"/>
      <c r="C109" s="75">
        <v>304</v>
      </c>
      <c r="D109" s="75">
        <v>619</v>
      </c>
      <c r="E109" s="75">
        <v>387</v>
      </c>
      <c r="F109" s="75">
        <v>843</v>
      </c>
    </row>
    <row r="110" spans="1:6">
      <c r="A110" s="80" t="s">
        <v>246</v>
      </c>
      <c r="B110" s="538"/>
      <c r="C110" s="75">
        <v>181</v>
      </c>
      <c r="D110" s="92">
        <v>177</v>
      </c>
      <c r="E110" s="92">
        <v>513</v>
      </c>
      <c r="F110" s="92">
        <v>351</v>
      </c>
    </row>
    <row r="111" spans="1:6">
      <c r="A111" s="80" t="s">
        <v>391</v>
      </c>
      <c r="B111" s="538"/>
      <c r="C111" s="75">
        <v>3</v>
      </c>
      <c r="D111" s="92">
        <v>4</v>
      </c>
      <c r="E111" s="92">
        <v>17</v>
      </c>
      <c r="F111" s="92">
        <v>19</v>
      </c>
    </row>
    <row r="112" spans="1:6">
      <c r="A112" s="80" t="s">
        <v>695</v>
      </c>
      <c r="B112" s="538"/>
      <c r="C112" s="75">
        <v>410</v>
      </c>
      <c r="D112" s="92">
        <v>629</v>
      </c>
      <c r="E112" s="92">
        <v>324</v>
      </c>
      <c r="F112" s="92">
        <v>1030</v>
      </c>
    </row>
    <row r="113" spans="1:6">
      <c r="A113" s="80" t="s">
        <v>389</v>
      </c>
      <c r="B113" s="538"/>
      <c r="C113" s="75">
        <v>102</v>
      </c>
      <c r="D113" s="92">
        <v>379</v>
      </c>
      <c r="E113" s="92">
        <v>331</v>
      </c>
      <c r="F113" s="92">
        <v>644</v>
      </c>
    </row>
    <row r="114" spans="1:6">
      <c r="A114" s="80" t="s">
        <v>249</v>
      </c>
      <c r="B114" s="538"/>
      <c r="C114" s="92">
        <v>458</v>
      </c>
      <c r="D114" s="92">
        <v>483</v>
      </c>
      <c r="E114" s="92">
        <v>514</v>
      </c>
      <c r="F114" s="92">
        <v>640</v>
      </c>
    </row>
    <row r="115" spans="1:6">
      <c r="A115" s="118" t="s">
        <v>253</v>
      </c>
      <c r="B115" s="555"/>
      <c r="C115" s="92">
        <v>423</v>
      </c>
      <c r="D115" s="92">
        <v>570</v>
      </c>
      <c r="E115" s="92">
        <v>843</v>
      </c>
      <c r="F115" s="92">
        <v>1379</v>
      </c>
    </row>
    <row r="116" spans="1:6" ht="26.25">
      <c r="A116" s="263" t="s">
        <v>696</v>
      </c>
      <c r="B116" s="556"/>
      <c r="C116" s="403">
        <v>8</v>
      </c>
      <c r="D116" s="403">
        <v>0</v>
      </c>
      <c r="E116" s="403">
        <v>1</v>
      </c>
      <c r="F116" s="403">
        <v>1</v>
      </c>
    </row>
    <row r="117" spans="1:6">
      <c r="A117" s="80"/>
      <c r="B117" s="538"/>
      <c r="C117" s="75">
        <v>7102</v>
      </c>
      <c r="D117" s="75">
        <v>9917</v>
      </c>
      <c r="E117" s="75">
        <v>10195</v>
      </c>
      <c r="F117" s="75">
        <v>13496</v>
      </c>
    </row>
    <row r="118" spans="1:6">
      <c r="A118" s="80"/>
      <c r="B118" s="538"/>
    </row>
    <row r="119" spans="1:6">
      <c r="A119" s="83" t="s">
        <v>254</v>
      </c>
      <c r="B119" s="553"/>
      <c r="C119" s="102">
        <v>22969</v>
      </c>
      <c r="D119" s="102">
        <v>23551</v>
      </c>
      <c r="E119" s="102">
        <v>28706</v>
      </c>
      <c r="F119" s="102">
        <v>31845</v>
      </c>
    </row>
    <row r="120" spans="1:6">
      <c r="A120" s="80"/>
      <c r="B120" s="546"/>
      <c r="C120" s="92"/>
      <c r="D120" s="92"/>
      <c r="E120" s="92"/>
      <c r="F120" s="92"/>
    </row>
    <row r="121" spans="1:6">
      <c r="A121" s="74" t="s">
        <v>255</v>
      </c>
      <c r="B121" s="552"/>
      <c r="C121" s="101">
        <v>39696</v>
      </c>
      <c r="D121" s="101">
        <v>40075</v>
      </c>
      <c r="E121" s="101">
        <v>45320</v>
      </c>
      <c r="F121" s="101">
        <v>49798</v>
      </c>
    </row>
    <row r="122" spans="1:6">
      <c r="B122" s="538"/>
    </row>
    <row r="124" spans="1:6" ht="15.75">
      <c r="A124" s="575" t="s">
        <v>256</v>
      </c>
      <c r="B124" s="544"/>
      <c r="C124" s="699" t="s">
        <v>667</v>
      </c>
      <c r="D124" s="700"/>
      <c r="E124" s="697"/>
      <c r="F124" s="697"/>
    </row>
    <row r="125" spans="1:6" ht="102">
      <c r="A125" s="576" t="s">
        <v>681</v>
      </c>
      <c r="B125" s="545"/>
      <c r="C125" s="73" t="s">
        <v>666</v>
      </c>
      <c r="D125" s="73" t="s">
        <v>750</v>
      </c>
      <c r="E125" s="73" t="s">
        <v>747</v>
      </c>
      <c r="F125" s="73" t="s">
        <v>837</v>
      </c>
    </row>
    <row r="126" spans="1:6" s="131" customFormat="1">
      <c r="A126" s="74" t="s">
        <v>257</v>
      </c>
      <c r="B126" s="557"/>
    </row>
    <row r="127" spans="1:6">
      <c r="A127" s="571" t="s">
        <v>418</v>
      </c>
      <c r="B127" s="538"/>
      <c r="C127" s="75">
        <v>-2179</v>
      </c>
      <c r="D127" s="72">
        <v>675</v>
      </c>
      <c r="E127" s="72">
        <v>133</v>
      </c>
      <c r="F127" s="72">
        <v>2302</v>
      </c>
    </row>
    <row r="128" spans="1:6">
      <c r="A128" s="408" t="s">
        <v>697</v>
      </c>
      <c r="B128" s="538"/>
      <c r="C128" s="75">
        <v>-16</v>
      </c>
      <c r="D128" s="75">
        <v>-32</v>
      </c>
      <c r="E128" s="75">
        <v>-128</v>
      </c>
      <c r="F128" s="72">
        <v>487</v>
      </c>
    </row>
    <row r="129" spans="1:6">
      <c r="A129" s="408" t="s">
        <v>419</v>
      </c>
      <c r="B129" s="538"/>
      <c r="C129" s="75">
        <v>2017</v>
      </c>
      <c r="D129" s="75">
        <v>2101</v>
      </c>
      <c r="E129" s="75">
        <v>2216</v>
      </c>
      <c r="F129" s="72">
        <v>2226</v>
      </c>
    </row>
    <row r="130" spans="1:6" ht="25.5">
      <c r="A130" s="408" t="s">
        <v>698</v>
      </c>
      <c r="B130" s="538"/>
      <c r="C130" s="75">
        <v>3746</v>
      </c>
      <c r="D130" s="75">
        <v>1129</v>
      </c>
      <c r="E130" s="75">
        <v>214</v>
      </c>
      <c r="F130" s="72">
        <v>26</v>
      </c>
    </row>
    <row r="131" spans="1:6" ht="25.5">
      <c r="A131" s="408" t="s">
        <v>751</v>
      </c>
      <c r="B131" s="538"/>
      <c r="C131" s="75">
        <v>0</v>
      </c>
      <c r="D131" s="75">
        <v>0</v>
      </c>
      <c r="E131" s="75">
        <v>460</v>
      </c>
      <c r="F131" s="72">
        <v>0</v>
      </c>
    </row>
    <row r="132" spans="1:6">
      <c r="A132" s="408" t="s">
        <v>763</v>
      </c>
      <c r="B132" s="538"/>
      <c r="C132" s="75">
        <v>221</v>
      </c>
      <c r="D132" s="75">
        <v>-1</v>
      </c>
      <c r="E132" s="75">
        <v>14</v>
      </c>
      <c r="F132" s="75">
        <v>-151</v>
      </c>
    </row>
    <row r="133" spans="1:6">
      <c r="A133" s="408" t="s">
        <v>764</v>
      </c>
      <c r="B133" s="538"/>
      <c r="C133" s="75">
        <v>246</v>
      </c>
      <c r="D133" s="75">
        <v>-10</v>
      </c>
      <c r="E133" s="75">
        <v>102</v>
      </c>
      <c r="F133" s="75">
        <v>-330</v>
      </c>
    </row>
    <row r="134" spans="1:6">
      <c r="A134" s="408" t="s">
        <v>420</v>
      </c>
      <c r="B134" s="538"/>
      <c r="C134" s="75">
        <v>283</v>
      </c>
      <c r="D134" s="72">
        <v>367</v>
      </c>
      <c r="E134" s="72">
        <v>591</v>
      </c>
      <c r="F134" s="72">
        <v>800</v>
      </c>
    </row>
    <row r="135" spans="1:6" ht="15" customHeight="1">
      <c r="A135" s="408" t="s">
        <v>421</v>
      </c>
      <c r="B135" s="538"/>
      <c r="C135" s="75">
        <v>-87</v>
      </c>
      <c r="D135" s="75">
        <v>-91</v>
      </c>
      <c r="E135" s="75">
        <v>199</v>
      </c>
      <c r="F135" s="72">
        <f>38+604</f>
        <v>642</v>
      </c>
    </row>
    <row r="136" spans="1:6">
      <c r="A136" s="408" t="s">
        <v>263</v>
      </c>
      <c r="B136" s="538"/>
      <c r="C136" s="75">
        <v>-129</v>
      </c>
      <c r="D136" s="75">
        <v>1209</v>
      </c>
      <c r="E136" s="75">
        <v>-486</v>
      </c>
      <c r="F136" s="75">
        <v>-1180</v>
      </c>
    </row>
    <row r="137" spans="1:6">
      <c r="A137" s="408" t="s">
        <v>264</v>
      </c>
      <c r="B137" s="538"/>
      <c r="C137" s="75">
        <v>-60</v>
      </c>
      <c r="D137" s="75">
        <v>-392</v>
      </c>
      <c r="E137" s="75">
        <v>-540</v>
      </c>
      <c r="F137" s="75">
        <v>-206</v>
      </c>
    </row>
    <row r="138" spans="1:6" s="103" customFormat="1">
      <c r="A138" s="74" t="s">
        <v>393</v>
      </c>
      <c r="B138" s="552"/>
      <c r="C138" s="101">
        <v>4042</v>
      </c>
      <c r="D138" s="101">
        <v>4955</v>
      </c>
      <c r="E138" s="101">
        <v>2775</v>
      </c>
      <c r="F138" s="101">
        <v>4616</v>
      </c>
    </row>
    <row r="139" spans="1:6">
      <c r="A139" s="571" t="s">
        <v>266</v>
      </c>
    </row>
    <row r="140" spans="1:6" ht="25.5">
      <c r="A140" s="408" t="s">
        <v>422</v>
      </c>
      <c r="B140" s="538"/>
      <c r="C140" s="75">
        <v>-3908</v>
      </c>
      <c r="D140" s="75">
        <v>-3255</v>
      </c>
      <c r="E140" s="75">
        <v>-3879</v>
      </c>
      <c r="F140" s="75">
        <v>-4841</v>
      </c>
    </row>
    <row r="141" spans="1:6">
      <c r="A141" s="408" t="s">
        <v>423</v>
      </c>
      <c r="B141" s="538"/>
      <c r="C141" s="75">
        <v>-33</v>
      </c>
      <c r="D141" s="75">
        <v>-28</v>
      </c>
      <c r="E141" s="75">
        <v>-28</v>
      </c>
      <c r="F141" s="75">
        <v>-16</v>
      </c>
    </row>
    <row r="142" spans="1:6">
      <c r="A142" s="408" t="s">
        <v>424</v>
      </c>
      <c r="B142" s="538"/>
      <c r="C142" s="75">
        <v>-105</v>
      </c>
      <c r="D142" s="75">
        <v>-1</v>
      </c>
      <c r="E142" s="75">
        <v>-120</v>
      </c>
      <c r="F142" s="121">
        <v>0</v>
      </c>
    </row>
    <row r="143" spans="1:6">
      <c r="A143" s="408" t="s">
        <v>765</v>
      </c>
      <c r="B143" s="538"/>
      <c r="C143" s="121">
        <v>0</v>
      </c>
      <c r="D143" s="121">
        <v>0</v>
      </c>
      <c r="E143" s="75">
        <v>-216</v>
      </c>
      <c r="F143" s="121">
        <v>0</v>
      </c>
    </row>
    <row r="144" spans="1:6">
      <c r="A144" s="408" t="s">
        <v>425</v>
      </c>
      <c r="B144" s="558"/>
      <c r="C144" s="121">
        <v>0</v>
      </c>
      <c r="D144" s="121">
        <v>0</v>
      </c>
      <c r="E144" s="75">
        <v>-14</v>
      </c>
      <c r="F144" s="121">
        <v>0</v>
      </c>
    </row>
    <row r="145" spans="1:6">
      <c r="A145" s="565" t="s">
        <v>268</v>
      </c>
      <c r="B145" s="559"/>
      <c r="C145" s="78">
        <v>-4046</v>
      </c>
      <c r="D145" s="78">
        <v>-3284</v>
      </c>
      <c r="E145" s="78">
        <v>-4257</v>
      </c>
      <c r="F145" s="78">
        <v>-4857</v>
      </c>
    </row>
    <row r="146" spans="1:6" ht="25.5">
      <c r="A146" s="124" t="s">
        <v>426</v>
      </c>
      <c r="B146" s="538"/>
      <c r="C146" s="75">
        <v>18</v>
      </c>
      <c r="D146" s="72">
        <v>76</v>
      </c>
      <c r="E146" s="72">
        <v>28</v>
      </c>
      <c r="F146" s="72">
        <v>63</v>
      </c>
    </row>
    <row r="147" spans="1:6">
      <c r="A147" s="408" t="s">
        <v>427</v>
      </c>
      <c r="B147" s="538"/>
      <c r="C147" s="75">
        <v>6</v>
      </c>
      <c r="D147" s="72">
        <v>47</v>
      </c>
      <c r="E147" s="72">
        <v>72</v>
      </c>
      <c r="F147" s="121">
        <v>0</v>
      </c>
    </row>
    <row r="148" spans="1:6">
      <c r="A148" s="408" t="s">
        <v>428</v>
      </c>
      <c r="B148" s="546"/>
      <c r="C148" s="92">
        <v>45</v>
      </c>
      <c r="D148" s="72">
        <f>5+53</f>
        <v>58</v>
      </c>
      <c r="E148" s="72">
        <f>180+1</f>
        <v>181</v>
      </c>
      <c r="F148" s="121">
        <v>0</v>
      </c>
    </row>
    <row r="149" spans="1:6" s="131" customFormat="1">
      <c r="A149" s="574" t="s">
        <v>270</v>
      </c>
      <c r="B149" s="560"/>
      <c r="C149" s="132">
        <v>69</v>
      </c>
      <c r="D149" s="131">
        <v>181</v>
      </c>
      <c r="E149" s="131">
        <v>281</v>
      </c>
      <c r="F149" s="131">
        <v>63</v>
      </c>
    </row>
    <row r="150" spans="1:6" s="103" customFormat="1">
      <c r="A150" s="74" t="s">
        <v>271</v>
      </c>
      <c r="B150" s="552"/>
      <c r="C150" s="101">
        <v>-3977</v>
      </c>
      <c r="D150" s="101">
        <v>-3103</v>
      </c>
      <c r="E150" s="101">
        <v>-3976</v>
      </c>
      <c r="F150" s="101">
        <v>-4794</v>
      </c>
    </row>
    <row r="151" spans="1:6">
      <c r="A151" s="571" t="s">
        <v>272</v>
      </c>
    </row>
    <row r="152" spans="1:6">
      <c r="A152" s="408" t="s">
        <v>429</v>
      </c>
      <c r="B152" s="538"/>
      <c r="C152" s="75">
        <v>-60</v>
      </c>
      <c r="D152" s="75">
        <v>-170</v>
      </c>
      <c r="E152" s="75">
        <v>-170</v>
      </c>
      <c r="F152" s="75">
        <v>-170</v>
      </c>
    </row>
    <row r="153" spans="1:6">
      <c r="A153" s="408" t="s">
        <v>430</v>
      </c>
      <c r="B153" s="538"/>
      <c r="C153" s="75">
        <v>-4407</v>
      </c>
      <c r="D153" s="75">
        <v>-3466</v>
      </c>
      <c r="E153" s="75">
        <v>-6067</v>
      </c>
      <c r="F153" s="75">
        <v>-6758</v>
      </c>
    </row>
    <row r="154" spans="1:6">
      <c r="A154" s="408" t="s">
        <v>752</v>
      </c>
      <c r="B154" s="538"/>
      <c r="C154" s="121">
        <v>0</v>
      </c>
      <c r="D154" s="121">
        <v>0</v>
      </c>
      <c r="E154" s="75">
        <v>-1061</v>
      </c>
      <c r="F154" s="121">
        <v>0</v>
      </c>
    </row>
    <row r="155" spans="1:6">
      <c r="A155" s="408" t="s">
        <v>431</v>
      </c>
      <c r="B155" s="538"/>
      <c r="C155" s="75">
        <v>-216</v>
      </c>
      <c r="D155" s="75">
        <v>-343</v>
      </c>
      <c r="E155" s="75">
        <v>-500</v>
      </c>
      <c r="F155" s="75">
        <v>-697</v>
      </c>
    </row>
    <row r="156" spans="1:6">
      <c r="A156" s="408" t="s">
        <v>701</v>
      </c>
      <c r="B156" s="538"/>
      <c r="C156" s="75">
        <v>-102</v>
      </c>
      <c r="D156" s="75">
        <v>-117</v>
      </c>
      <c r="E156" s="75">
        <v>-126</v>
      </c>
      <c r="F156" s="75">
        <v>-105</v>
      </c>
    </row>
    <row r="157" spans="1:6">
      <c r="A157" s="408" t="s">
        <v>425</v>
      </c>
      <c r="B157" s="538"/>
      <c r="C157" s="75">
        <v>-25</v>
      </c>
      <c r="D157" s="75">
        <v>-24</v>
      </c>
      <c r="E157" s="75">
        <v>-36</v>
      </c>
      <c r="F157" s="75">
        <v>-8</v>
      </c>
    </row>
    <row r="158" spans="1:6">
      <c r="A158" s="565" t="s">
        <v>268</v>
      </c>
      <c r="B158" s="559"/>
      <c r="C158" s="78">
        <v>-4810</v>
      </c>
      <c r="D158" s="78">
        <v>-4120</v>
      </c>
      <c r="E158" s="78">
        <v>-7960</v>
      </c>
      <c r="F158" s="78">
        <v>-7738</v>
      </c>
    </row>
    <row r="159" spans="1:6">
      <c r="A159" s="408" t="s">
        <v>433</v>
      </c>
      <c r="B159" s="559"/>
      <c r="C159" s="75">
        <v>3369</v>
      </c>
      <c r="D159" s="75">
        <v>2003</v>
      </c>
      <c r="E159" s="75">
        <v>9440</v>
      </c>
      <c r="F159" s="72">
        <v>7982</v>
      </c>
    </row>
    <row r="160" spans="1:6">
      <c r="A160" s="408" t="s">
        <v>434</v>
      </c>
      <c r="B160" s="559"/>
      <c r="C160" s="75">
        <v>67</v>
      </c>
      <c r="D160" s="75">
        <v>114</v>
      </c>
      <c r="E160" s="75">
        <v>38</v>
      </c>
      <c r="F160" s="72">
        <v>36</v>
      </c>
    </row>
    <row r="161" spans="1:6">
      <c r="A161" s="408" t="s">
        <v>432</v>
      </c>
      <c r="B161" s="538"/>
      <c r="C161" s="75">
        <v>1000</v>
      </c>
      <c r="D161" s="121">
        <v>0</v>
      </c>
      <c r="E161" s="121">
        <v>0</v>
      </c>
      <c r="F161" s="121">
        <v>0</v>
      </c>
    </row>
    <row r="162" spans="1:6">
      <c r="A162" s="408" t="s">
        <v>838</v>
      </c>
      <c r="B162" s="538"/>
      <c r="C162" s="75"/>
      <c r="D162" s="121"/>
      <c r="E162" s="121"/>
      <c r="F162" s="72">
        <v>6</v>
      </c>
    </row>
    <row r="163" spans="1:6">
      <c r="A163" s="565" t="s">
        <v>270</v>
      </c>
      <c r="B163" s="546"/>
      <c r="C163" s="132">
        <v>4436</v>
      </c>
      <c r="D163" s="132">
        <v>2117</v>
      </c>
      <c r="E163" s="132">
        <v>9478</v>
      </c>
      <c r="F163" s="72">
        <v>8024</v>
      </c>
    </row>
    <row r="164" spans="1:6" s="103" customFormat="1">
      <c r="A164" s="74" t="s">
        <v>395</v>
      </c>
      <c r="B164" s="552"/>
      <c r="C164" s="101">
        <v>-374</v>
      </c>
      <c r="D164" s="101">
        <v>-2003</v>
      </c>
      <c r="E164" s="101">
        <v>1518</v>
      </c>
      <c r="F164" s="103">
        <v>286</v>
      </c>
    </row>
    <row r="165" spans="1:6" s="103" customFormat="1" ht="26.65" customHeight="1">
      <c r="A165" s="249" t="s">
        <v>396</v>
      </c>
      <c r="B165" s="552"/>
      <c r="C165" s="101">
        <v>-309</v>
      </c>
      <c r="D165" s="101">
        <v>-151</v>
      </c>
      <c r="E165" s="101">
        <v>317</v>
      </c>
      <c r="F165" s="103">
        <v>108</v>
      </c>
    </row>
    <row r="166" spans="1:6">
      <c r="A166" s="408" t="s">
        <v>435</v>
      </c>
      <c r="B166" s="538"/>
      <c r="C166" s="75">
        <v>3</v>
      </c>
      <c r="D166" s="75">
        <v>-3</v>
      </c>
      <c r="E166" s="75">
        <v>-24</v>
      </c>
      <c r="F166" s="72">
        <v>25</v>
      </c>
    </row>
    <row r="167" spans="1:6">
      <c r="A167" s="565" t="s">
        <v>436</v>
      </c>
      <c r="B167" s="538"/>
      <c r="C167" s="75">
        <v>1204</v>
      </c>
      <c r="D167" s="75">
        <v>774</v>
      </c>
      <c r="E167" s="75">
        <v>623</v>
      </c>
      <c r="F167" s="72">
        <v>940</v>
      </c>
    </row>
    <row r="168" spans="1:6">
      <c r="A168" s="565" t="s">
        <v>397</v>
      </c>
      <c r="B168" s="538"/>
      <c r="C168" s="75">
        <v>895</v>
      </c>
      <c r="D168" s="75">
        <v>623</v>
      </c>
      <c r="E168" s="75">
        <v>940</v>
      </c>
      <c r="F168" s="72">
        <v>1048</v>
      </c>
    </row>
    <row r="169" spans="1:6" s="131" customFormat="1">
      <c r="A169" s="81" t="s">
        <v>437</v>
      </c>
      <c r="B169" s="561"/>
      <c r="C169" s="95">
        <v>211</v>
      </c>
      <c r="D169" s="95">
        <v>146</v>
      </c>
      <c r="E169" s="95">
        <v>322</v>
      </c>
      <c r="F169" s="131">
        <v>372</v>
      </c>
    </row>
    <row r="171" spans="1:6">
      <c r="C171" s="92"/>
      <c r="D171" s="92"/>
    </row>
  </sheetData>
  <mergeCells count="3">
    <mergeCell ref="C47:F47"/>
    <mergeCell ref="C124:F124"/>
    <mergeCell ref="C2:H2"/>
  </mergeCells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999B29DB8D65E41BA7053985BBF754A" ma:contentTypeVersion="15" ma:contentTypeDescription="Utwórz nowy dokument." ma:contentTypeScope="" ma:versionID="877c70434f5c8f42b81d28286b968809">
  <xsd:schema xmlns:xsd="http://www.w3.org/2001/XMLSchema" xmlns:xs="http://www.w3.org/2001/XMLSchema" xmlns:p="http://schemas.microsoft.com/office/2006/metadata/properties" xmlns:ns2="dfe1df3e-82f5-4b23-9d0b-350546cf224f" xmlns:ns3="666b4b6e-43ed-4b1d-ae5e-6d92ea12575d" targetNamespace="http://schemas.microsoft.com/office/2006/metadata/properties" ma:root="true" ma:fieldsID="115e78072612d3f8d53da324f1f1216d" ns2:_="" ns3:_="">
    <xsd:import namespace="dfe1df3e-82f5-4b23-9d0b-350546cf224f"/>
    <xsd:import namespace="666b4b6e-43ed-4b1d-ae5e-6d92ea1257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1df3e-82f5-4b23-9d0b-350546cf22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Tagi obrazów" ma:readOnly="false" ma:fieldId="{5cf76f15-5ced-4ddc-b409-7134ff3c332f}" ma:taxonomyMulti="true" ma:sspId="5ebe6ab8-f229-48dd-bc8a-b3ab89121e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6b4b6e-43ed-4b1d-ae5e-6d92ea12575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1117c93d-7fba-43ba-a580-41eee64ab63e}" ma:internalName="TaxCatchAll" ma:showField="CatchAllData" ma:web="666b4b6e-43ed-4b1d-ae5e-6d92ea1257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fe1df3e-82f5-4b23-9d0b-350546cf224f">
      <Terms xmlns="http://schemas.microsoft.com/office/infopath/2007/PartnerControls"/>
    </lcf76f155ced4ddcb4097134ff3c332f>
    <TaxCatchAll xmlns="666b4b6e-43ed-4b1d-ae5e-6d92ea12575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5582A69F-6C2C-4442-9C04-FCA67050DB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1df3e-82f5-4b23-9d0b-350546cf224f"/>
    <ds:schemaRef ds:uri="666b4b6e-43ed-4b1d-ae5e-6d92ea1257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2F9CEF-5802-4AB9-A055-569AD9D49429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666b4b6e-43ed-4b1d-ae5e-6d92ea12575d"/>
    <ds:schemaRef ds:uri="dfe1df3e-82f5-4b23-9d0b-350546cf224f"/>
    <ds:schemaRef ds:uri="http://purl.org/dc/terms/"/>
    <ds:schemaRef ds:uri="http://schemas.microsoft.com/office/2006/metadata/properties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CE0D245D-EC38-4572-9819-D83417A9A4C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8DD0ED2-9D61-431A-801C-0A06E7A8083F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Nazwane zakresy</vt:lpstr>
      </vt:variant>
      <vt:variant>
        <vt:i4>6</vt:i4>
      </vt:variant>
    </vt:vector>
  </HeadingPairs>
  <TitlesOfParts>
    <vt:vector size="18" baseType="lpstr">
      <vt:lpstr>Podst. dane_Key figures</vt:lpstr>
      <vt:lpstr>Dane operacyjne_Operating data</vt:lpstr>
      <vt:lpstr>Osiąg. moc_Achievable capac</vt:lpstr>
      <vt:lpstr>Zainst. moc_Installed capacity</vt:lpstr>
      <vt:lpstr>Segmenty_Segment's results</vt:lpstr>
      <vt:lpstr>Inwestycje_CAPEX</vt:lpstr>
      <vt:lpstr>Rach. zysków i strat_P&amp;L</vt:lpstr>
      <vt:lpstr>Bilans_Balance sheet</vt:lpstr>
      <vt:lpstr>Cash flow</vt:lpstr>
      <vt:lpstr>Hist. dane kwart. - Q figures</vt:lpstr>
      <vt:lpstr>Hist. dane półr. - H figures</vt:lpstr>
      <vt:lpstr>Hist. dane roczne - FY figures</vt:lpstr>
      <vt:lpstr>'Bilans_Balance sheet'!Obszar_wydruku</vt:lpstr>
      <vt:lpstr>'Cash flow'!Obszar_wydruku</vt:lpstr>
      <vt:lpstr>'Hist. dane kwart. - Q figures'!Obszar_wydruku</vt:lpstr>
      <vt:lpstr>'Hist. dane półr. - H figures'!Obszar_wydruku</vt:lpstr>
      <vt:lpstr>'Hist. dane roczne - FY figures'!Obszar_wydruku</vt:lpstr>
      <vt:lpstr>'Rach. zysków i strat_P&amp;L'!Obszar_wydruku</vt:lpstr>
    </vt:vector>
  </TitlesOfParts>
  <Company>TAURON Polska Energia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Barchanowski Rafał</dc:creator>
  <cp:lastModifiedBy>Motyl Jacek (TPE)</cp:lastModifiedBy>
  <cp:lastPrinted>2024-04-12T09:42:29Z</cp:lastPrinted>
  <dcterms:created xsi:type="dcterms:W3CDTF">2016-07-29T07:12:06Z</dcterms:created>
  <dcterms:modified xsi:type="dcterms:W3CDTF">2024-11-29T06:02:19Z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0x0101003999B29DB8D65E41BA7053985BBF754A</vt:lpwstr>
  </property>
  <property fmtid="{D5CDD505-2E9C-101B-9397-08002B2CF9AE}" pid="3" name="Podsumowanie uprawnień">
    <vt:lpwstr>&lt;?xml version="1.0" encoding="utf-16"?&gt;&lt;PermissionsCollection xmlns:xsd="http://www.w3.org/2001/XMLSchema" xmlns:xsi="http://www.w3.org/2001/XMLSchema-instance"&gt;  &lt;ParentItem&gt;    &lt;BrokenInheritance&gt;false&lt;/BrokenInheritance&gt;  &lt;/ParentItem&gt;  &lt;PermissionsFie</vt:lpwstr>
  </property>
  <property fmtid="{D5CDD505-2E9C-101B-9397-08002B2CF9AE}" pid="4" name="TaxKeyword">
    <vt:lpwstr/>
  </property>
  <property fmtid="{D5CDD505-2E9C-101B-9397-08002B2CF9AE}" pid="5" name="AreaDictionary">
    <vt:lpwstr/>
  </property>
  <property fmtid="{D5CDD505-2E9C-101B-9397-08002B2CF9AE}" pid="6" name="CompanyDictionary">
    <vt:lpwstr/>
  </property>
  <property fmtid="{D5CDD505-2E9C-101B-9397-08002B2CF9AE}" pid="7" name="TaxKeywordTaxHTField">
    <vt:lpwstr/>
  </property>
  <property fmtid="{D5CDD505-2E9C-101B-9397-08002B2CF9AE}" pid="8" name="MediaServiceImageTags">
    <vt:lpwstr/>
  </property>
</Properties>
</file>